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30"/>
  </bookViews>
  <sheets>
    <sheet name="штат на 1.09.2023г (дұрысы" sheetId="4" r:id="rId1"/>
    <sheet name="штат на 1.09.2023г" sheetId="1" r:id="rId2"/>
    <sheet name="тариф на 1.09.23г" sheetId="6" r:id="rId3"/>
    <sheet name="перетариф на 1.09.23г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AA18" i="4" l="1"/>
  <c r="K18" i="4"/>
  <c r="L18" i="4" s="1"/>
  <c r="Y18" i="4" s="1"/>
  <c r="O40" i="2"/>
  <c r="P40" i="2"/>
  <c r="Q40" i="2"/>
  <c r="W40" i="2"/>
  <c r="X40" i="2"/>
  <c r="Y40" i="2"/>
  <c r="AH40" i="2"/>
  <c r="AJ40" i="2"/>
  <c r="AK40" i="2"/>
  <c r="AL40" i="2"/>
  <c r="AM40" i="2"/>
  <c r="AN40" i="2"/>
  <c r="AO40" i="2"/>
  <c r="AP40" i="2"/>
  <c r="AT40" i="2"/>
  <c r="AX40" i="2"/>
  <c r="AF22" i="2"/>
  <c r="AF40" i="2" s="1"/>
  <c r="AI14" i="2"/>
  <c r="AI40" i="2" s="1"/>
  <c r="AI14" i="6"/>
  <c r="AB28" i="2"/>
  <c r="AA28" i="2"/>
  <c r="AB26" i="2"/>
  <c r="Z26" i="2"/>
  <c r="AY49" i="4"/>
  <c r="AA28" i="6"/>
  <c r="AB26" i="6"/>
  <c r="AB25" i="6"/>
  <c r="AQ25" i="6"/>
  <c r="AB24" i="6"/>
  <c r="Z24" i="6"/>
  <c r="AA25" i="6"/>
  <c r="T26" i="6"/>
  <c r="S26" i="6"/>
  <c r="U26" i="6" s="1"/>
  <c r="M26" i="6"/>
  <c r="N25" i="6"/>
  <c r="N26" i="6"/>
  <c r="M25" i="6"/>
  <c r="T25" i="6" s="1"/>
  <c r="S25" i="6" l="1"/>
  <c r="U25" i="6" s="1"/>
  <c r="V26" i="6"/>
  <c r="AH18" i="4"/>
  <c r="AM18" i="4" s="1"/>
  <c r="AB18" i="4"/>
  <c r="AC18" i="4" s="1"/>
  <c r="AD18" i="4" s="1"/>
  <c r="AC25" i="6"/>
  <c r="AI18" i="4" l="1"/>
  <c r="BK26" i="6"/>
  <c r="BE25" i="6"/>
  <c r="V25" i="6"/>
  <c r="AR25" i="6"/>
  <c r="AG18" i="4"/>
  <c r="AL18" i="4" s="1"/>
  <c r="BE26" i="6"/>
  <c r="AR26" i="6"/>
  <c r="AE26" i="6"/>
  <c r="AY26" i="6" s="1"/>
  <c r="AZ26" i="6" s="1"/>
  <c r="AF18" i="4"/>
  <c r="AK18" i="4" s="1"/>
  <c r="AE18" i="4"/>
  <c r="AJ18" i="4" s="1"/>
  <c r="AX41" i="6"/>
  <c r="AT41" i="6"/>
  <c r="AP41" i="6"/>
  <c r="AO41" i="6"/>
  <c r="AN41" i="6"/>
  <c r="AM41" i="6"/>
  <c r="AL41" i="6"/>
  <c r="AK41" i="6"/>
  <c r="AJ41" i="6"/>
  <c r="AI41" i="6"/>
  <c r="AH41" i="6"/>
  <c r="Y41" i="6"/>
  <c r="X41" i="6"/>
  <c r="W41" i="6"/>
  <c r="Q41" i="6"/>
  <c r="P41" i="6"/>
  <c r="O41" i="6"/>
  <c r="N40" i="6"/>
  <c r="AW37" i="6"/>
  <c r="AQ37" i="6"/>
  <c r="AB37" i="6"/>
  <c r="Z37" i="6"/>
  <c r="N37" i="6"/>
  <c r="AD37" i="6" s="1"/>
  <c r="M37" i="6"/>
  <c r="T37" i="6" s="1"/>
  <c r="AW36" i="6"/>
  <c r="AQ36" i="6"/>
  <c r="Z36" i="6"/>
  <c r="AC36" i="6" s="1"/>
  <c r="N36" i="6"/>
  <c r="AD36" i="6" s="1"/>
  <c r="M36" i="6"/>
  <c r="R36" i="6" s="1"/>
  <c r="U36" i="6" s="1"/>
  <c r="AW35" i="6"/>
  <c r="AQ35" i="6"/>
  <c r="AB35" i="6"/>
  <c r="AA35" i="6"/>
  <c r="Z35" i="6"/>
  <c r="N35" i="6"/>
  <c r="AD35" i="6" s="1"/>
  <c r="M35" i="6"/>
  <c r="R35" i="6" s="1"/>
  <c r="AW34" i="6"/>
  <c r="AQ34" i="6"/>
  <c r="AC34" i="6"/>
  <c r="N34" i="6"/>
  <c r="M34" i="6"/>
  <c r="R34" i="6" s="1"/>
  <c r="AW33" i="6"/>
  <c r="AQ33" i="6"/>
  <c r="AB33" i="6"/>
  <c r="AA33" i="6"/>
  <c r="Z33" i="6"/>
  <c r="N33" i="6"/>
  <c r="AD33" i="6" s="1"/>
  <c r="M33" i="6"/>
  <c r="T33" i="6" s="1"/>
  <c r="AW32" i="6"/>
  <c r="AQ32" i="6"/>
  <c r="AB32" i="6"/>
  <c r="AA32" i="6"/>
  <c r="Z32" i="6"/>
  <c r="N32" i="6"/>
  <c r="AD32" i="6" s="1"/>
  <c r="M32" i="6"/>
  <c r="S32" i="6" s="1"/>
  <c r="AW31" i="6"/>
  <c r="AQ31" i="6"/>
  <c r="AB31" i="6"/>
  <c r="AA31" i="6"/>
  <c r="Z31" i="6"/>
  <c r="N31" i="6"/>
  <c r="AD31" i="6" s="1"/>
  <c r="M31" i="6"/>
  <c r="T31" i="6" s="1"/>
  <c r="AQ30" i="6"/>
  <c r="AB30" i="6"/>
  <c r="AA30" i="6"/>
  <c r="Z30" i="6"/>
  <c r="N30" i="6"/>
  <c r="AD30" i="6" s="1"/>
  <c r="M30" i="6"/>
  <c r="R30" i="6" s="1"/>
  <c r="AW29" i="6"/>
  <c r="AQ29" i="6"/>
  <c r="AB29" i="6"/>
  <c r="AA29" i="6"/>
  <c r="Z29" i="6"/>
  <c r="R29" i="6"/>
  <c r="N29" i="6"/>
  <c r="AD29" i="6" s="1"/>
  <c r="M29" i="6"/>
  <c r="T29" i="6" s="1"/>
  <c r="AW28" i="6"/>
  <c r="AQ28" i="6"/>
  <c r="AG28" i="6"/>
  <c r="AB28" i="6"/>
  <c r="Z28" i="6"/>
  <c r="N28" i="6"/>
  <c r="AD28" i="6" s="1"/>
  <c r="M28" i="6"/>
  <c r="R28" i="6" s="1"/>
  <c r="AW27" i="6"/>
  <c r="AQ27" i="6"/>
  <c r="AB27" i="6"/>
  <c r="AA27" i="6"/>
  <c r="Z27" i="6"/>
  <c r="N27" i="6"/>
  <c r="AD27" i="6" s="1"/>
  <c r="M27" i="6"/>
  <c r="R27" i="6" s="1"/>
  <c r="AQ24" i="6"/>
  <c r="AA24" i="6"/>
  <c r="AC24" i="6" s="1"/>
  <c r="N24" i="6"/>
  <c r="M24" i="6"/>
  <c r="AW39" i="6"/>
  <c r="AC39" i="6"/>
  <c r="N39" i="6"/>
  <c r="AD39" i="6" s="1"/>
  <c r="M39" i="6"/>
  <c r="S39" i="6" s="1"/>
  <c r="U39" i="6" s="1"/>
  <c r="AQ23" i="6"/>
  <c r="AB23" i="6"/>
  <c r="AA23" i="6"/>
  <c r="Z23" i="6"/>
  <c r="N23" i="6"/>
  <c r="AD23" i="6" s="1"/>
  <c r="M23" i="6"/>
  <c r="T23" i="6" s="1"/>
  <c r="AW22" i="6"/>
  <c r="AQ22" i="6"/>
  <c r="AB22" i="6"/>
  <c r="AA22" i="6"/>
  <c r="Z22" i="6"/>
  <c r="N22" i="6"/>
  <c r="AD22" i="6" s="1"/>
  <c r="M22" i="6"/>
  <c r="R22" i="6" s="1"/>
  <c r="AQ21" i="6"/>
  <c r="AF41" i="6"/>
  <c r="AB21" i="6"/>
  <c r="AA21" i="6"/>
  <c r="AC21" i="6" s="1"/>
  <c r="N21" i="6"/>
  <c r="AD21" i="6" s="1"/>
  <c r="M21" i="6"/>
  <c r="T21" i="6" s="1"/>
  <c r="AQ20" i="6"/>
  <c r="AG20" i="6"/>
  <c r="AB20" i="6"/>
  <c r="AA20" i="6"/>
  <c r="Z20" i="6"/>
  <c r="N20" i="6"/>
  <c r="AD20" i="6" s="1"/>
  <c r="M20" i="6"/>
  <c r="R20" i="6" s="1"/>
  <c r="AW38" i="6"/>
  <c r="AC38" i="6"/>
  <c r="S38" i="6"/>
  <c r="N38" i="6"/>
  <c r="AD38" i="6" s="1"/>
  <c r="M38" i="6"/>
  <c r="R38" i="6" s="1"/>
  <c r="AQ19" i="6"/>
  <c r="AC19" i="6"/>
  <c r="N19" i="6"/>
  <c r="AD19" i="6" s="1"/>
  <c r="M19" i="6"/>
  <c r="T19" i="6" s="1"/>
  <c r="AQ18" i="6"/>
  <c r="AG18" i="6"/>
  <c r="AB18" i="6"/>
  <c r="AA18" i="6"/>
  <c r="Z18" i="6"/>
  <c r="N18" i="6"/>
  <c r="AD18" i="6" s="1"/>
  <c r="M18" i="6"/>
  <c r="T18" i="6" s="1"/>
  <c r="AQ17" i="6"/>
  <c r="AG17" i="6"/>
  <c r="AG41" i="6" s="1"/>
  <c r="AB17" i="6"/>
  <c r="AA17" i="6"/>
  <c r="Z17" i="6"/>
  <c r="N17" i="6"/>
  <c r="AD17" i="6" s="1"/>
  <c r="M17" i="6"/>
  <c r="R17" i="6" s="1"/>
  <c r="AQ16" i="6"/>
  <c r="AB16" i="6"/>
  <c r="Z16" i="6"/>
  <c r="N16" i="6"/>
  <c r="AD16" i="6" s="1"/>
  <c r="M16" i="6"/>
  <c r="T16" i="6" s="1"/>
  <c r="AQ15" i="6"/>
  <c r="AB15" i="6"/>
  <c r="AA15" i="6"/>
  <c r="Z15" i="6"/>
  <c r="N15" i="6"/>
  <c r="AD15" i="6" s="1"/>
  <c r="M15" i="6"/>
  <c r="R15" i="6" s="1"/>
  <c r="AQ14" i="6"/>
  <c r="AB14" i="6"/>
  <c r="AA14" i="6"/>
  <c r="Z14" i="6"/>
  <c r="N14" i="6"/>
  <c r="AD14" i="6" s="1"/>
  <c r="M14" i="6"/>
  <c r="T14" i="6" s="1"/>
  <c r="AQ13" i="6"/>
  <c r="AB13" i="6"/>
  <c r="AA13" i="6"/>
  <c r="Z13" i="6"/>
  <c r="N13" i="6"/>
  <c r="M13" i="6"/>
  <c r="R13" i="6" s="1"/>
  <c r="K20" i="4"/>
  <c r="H49" i="4"/>
  <c r="I49" i="4"/>
  <c r="J49" i="4"/>
  <c r="M49" i="4"/>
  <c r="Q49" i="4"/>
  <c r="S49" i="4"/>
  <c r="T49" i="4"/>
  <c r="U49" i="4"/>
  <c r="V49" i="4"/>
  <c r="Z49" i="4"/>
  <c r="G49" i="4"/>
  <c r="K17" i="4"/>
  <c r="AC19" i="2"/>
  <c r="AC20" i="2"/>
  <c r="AC25" i="2"/>
  <c r="AC34" i="2"/>
  <c r="Z36" i="2"/>
  <c r="AC36" i="2" s="1"/>
  <c r="BG26" i="6" l="1"/>
  <c r="BA26" i="6"/>
  <c r="AC37" i="6"/>
  <c r="BK25" i="6"/>
  <c r="S19" i="6"/>
  <c r="S22" i="6"/>
  <c r="S24" i="6"/>
  <c r="R24" i="6"/>
  <c r="AE25" i="6"/>
  <c r="AY25" i="6" s="1"/>
  <c r="AZ25" i="6" s="1"/>
  <c r="AN18" i="4"/>
  <c r="T24" i="6"/>
  <c r="AC31" i="6"/>
  <c r="S15" i="6"/>
  <c r="S21" i="6"/>
  <c r="S31" i="6"/>
  <c r="R33" i="6"/>
  <c r="AC32" i="6"/>
  <c r="AC33" i="6"/>
  <c r="S16" i="6"/>
  <c r="AC29" i="6"/>
  <c r="AC15" i="6"/>
  <c r="R16" i="6"/>
  <c r="S13" i="6"/>
  <c r="AC16" i="6"/>
  <c r="S18" i="6"/>
  <c r="R19" i="6"/>
  <c r="R21" i="6"/>
  <c r="U21" i="6" s="1"/>
  <c r="AC22" i="6"/>
  <c r="S37" i="6"/>
  <c r="N41" i="6"/>
  <c r="AC13" i="6"/>
  <c r="R14" i="6"/>
  <c r="R18" i="6"/>
  <c r="AC18" i="6"/>
  <c r="AC23" i="6"/>
  <c r="S29" i="6"/>
  <c r="U29" i="6" s="1"/>
  <c r="S33" i="6"/>
  <c r="U33" i="6" s="1"/>
  <c r="AA41" i="6"/>
  <c r="U16" i="6"/>
  <c r="AC17" i="6"/>
  <c r="S23" i="6"/>
  <c r="AC30" i="6"/>
  <c r="R31" i="6"/>
  <c r="U31" i="6" s="1"/>
  <c r="T32" i="6"/>
  <c r="U32" i="6" s="1"/>
  <c r="R37" i="6"/>
  <c r="U37" i="6" s="1"/>
  <c r="Z41" i="6"/>
  <c r="AQ41" i="6"/>
  <c r="S14" i="6"/>
  <c r="U14" i="6" s="1"/>
  <c r="U18" i="6"/>
  <c r="U38" i="6"/>
  <c r="S20" i="6"/>
  <c r="R23" i="6"/>
  <c r="S28" i="6"/>
  <c r="S35" i="6"/>
  <c r="AD13" i="6"/>
  <c r="AC14" i="6"/>
  <c r="AC20" i="6"/>
  <c r="AC27" i="6"/>
  <c r="AC28" i="6"/>
  <c r="AC35" i="6"/>
  <c r="V36" i="6"/>
  <c r="AE36" i="6" s="1"/>
  <c r="V18" i="6"/>
  <c r="V38" i="6"/>
  <c r="V39" i="6"/>
  <c r="AR39" i="6" s="1"/>
  <c r="AD41" i="6"/>
  <c r="U19" i="6"/>
  <c r="T13" i="6"/>
  <c r="T15" i="6"/>
  <c r="T20" i="6"/>
  <c r="T22" i="6"/>
  <c r="T28" i="6"/>
  <c r="T35" i="6"/>
  <c r="U35" i="6" s="1"/>
  <c r="M41" i="6"/>
  <c r="T27" i="6"/>
  <c r="T30" i="6"/>
  <c r="T34" i="6"/>
  <c r="AB41" i="6"/>
  <c r="S17" i="6"/>
  <c r="S27" i="6"/>
  <c r="S30" i="6"/>
  <c r="S34" i="6"/>
  <c r="T17" i="6"/>
  <c r="AQ26" i="2"/>
  <c r="AQ36" i="2"/>
  <c r="AQ34" i="2"/>
  <c r="AQ35" i="2"/>
  <c r="AW20" i="2"/>
  <c r="AW23" i="2"/>
  <c r="AW25" i="2"/>
  <c r="AW26" i="2"/>
  <c r="AW27" i="2"/>
  <c r="AW28" i="2"/>
  <c r="AW29" i="2"/>
  <c r="AW31" i="2"/>
  <c r="AW32" i="2"/>
  <c r="AW33" i="2"/>
  <c r="AW34" i="2"/>
  <c r="AW35" i="2"/>
  <c r="AW36" i="2"/>
  <c r="AW37" i="2"/>
  <c r="M25" i="2"/>
  <c r="S25" i="2" s="1"/>
  <c r="U25" i="2" s="1"/>
  <c r="M36" i="2"/>
  <c r="R36" i="2" s="1"/>
  <c r="U36" i="2" s="1"/>
  <c r="N14" i="2"/>
  <c r="N15" i="2"/>
  <c r="N16" i="2"/>
  <c r="AD16" i="2" s="1"/>
  <c r="N17" i="2"/>
  <c r="N18" i="2"/>
  <c r="N19" i="2"/>
  <c r="AD19" i="2" s="1"/>
  <c r="N20" i="2"/>
  <c r="AD20" i="2" s="1"/>
  <c r="N21" i="2"/>
  <c r="N22" i="2"/>
  <c r="N23" i="2"/>
  <c r="AD23" i="2" s="1"/>
  <c r="N24" i="2"/>
  <c r="AD24" i="2" s="1"/>
  <c r="N25" i="2"/>
  <c r="AD25" i="2" s="1"/>
  <c r="N26" i="2"/>
  <c r="N27" i="2"/>
  <c r="AD27" i="2" s="1"/>
  <c r="N28" i="2"/>
  <c r="AD28" i="2" s="1"/>
  <c r="N29" i="2"/>
  <c r="N30" i="2"/>
  <c r="N31" i="2"/>
  <c r="AD31" i="2" s="1"/>
  <c r="N32" i="2"/>
  <c r="AD32" i="2" s="1"/>
  <c r="N33" i="2"/>
  <c r="N34" i="2"/>
  <c r="N35" i="2"/>
  <c r="AD35" i="2" s="1"/>
  <c r="N36" i="2"/>
  <c r="AD36" i="2" s="1"/>
  <c r="N37" i="2"/>
  <c r="N38" i="2"/>
  <c r="N39" i="2"/>
  <c r="N13" i="2"/>
  <c r="M20" i="2"/>
  <c r="S20" i="2" s="1"/>
  <c r="AA26" i="2"/>
  <c r="AC26" i="2" s="1"/>
  <c r="M26" i="2"/>
  <c r="S26" i="2" s="1"/>
  <c r="AA44" i="4"/>
  <c r="K44" i="4"/>
  <c r="AH44" i="4" s="1"/>
  <c r="AM44" i="4" s="1"/>
  <c r="AA43" i="4"/>
  <c r="K43" i="4"/>
  <c r="AH43" i="4" s="1"/>
  <c r="AM43" i="4" s="1"/>
  <c r="AA42" i="4"/>
  <c r="O42" i="4"/>
  <c r="K42" i="4"/>
  <c r="AH42" i="4" s="1"/>
  <c r="AM42" i="4" s="1"/>
  <c r="AA41" i="4"/>
  <c r="K41" i="4"/>
  <c r="AH41" i="4" s="1"/>
  <c r="AM41" i="4" s="1"/>
  <c r="AA40" i="4"/>
  <c r="K40" i="4"/>
  <c r="AH40" i="4" s="1"/>
  <c r="AM40" i="4" s="1"/>
  <c r="AA39" i="4"/>
  <c r="O39" i="4"/>
  <c r="K39" i="4"/>
  <c r="Y39" i="4" s="1"/>
  <c r="AA36" i="4"/>
  <c r="K36" i="4"/>
  <c r="AH36" i="4" s="1"/>
  <c r="AM36" i="4" s="1"/>
  <c r="AA35" i="4"/>
  <c r="R35" i="4"/>
  <c r="K35" i="4"/>
  <c r="Y35" i="4" s="1"/>
  <c r="AH34" i="4"/>
  <c r="AM34" i="4" s="1"/>
  <c r="AA34" i="4"/>
  <c r="K34" i="4"/>
  <c r="R34" i="4" s="1"/>
  <c r="AA33" i="4"/>
  <c r="K33" i="4"/>
  <c r="AH33" i="4" s="1"/>
  <c r="AM33" i="4" s="1"/>
  <c r="AA32" i="4"/>
  <c r="X32" i="4"/>
  <c r="X49" i="4" s="1"/>
  <c r="K32" i="4"/>
  <c r="AH32" i="4" s="1"/>
  <c r="AM32" i="4" s="1"/>
  <c r="AA46" i="4"/>
  <c r="R46" i="4"/>
  <c r="K46" i="4"/>
  <c r="AH46" i="4" s="1"/>
  <c r="AM46" i="4" s="1"/>
  <c r="AA45" i="4"/>
  <c r="R45" i="4"/>
  <c r="K45" i="4"/>
  <c r="W45" i="4" s="1"/>
  <c r="AA38" i="4"/>
  <c r="O38" i="4"/>
  <c r="O49" i="4" s="1"/>
  <c r="K38" i="4"/>
  <c r="Y38" i="4" s="1"/>
  <c r="AA37" i="4"/>
  <c r="Y37" i="4"/>
  <c r="P37" i="4"/>
  <c r="P49" i="4" s="1"/>
  <c r="K37" i="4"/>
  <c r="AH37" i="4" s="1"/>
  <c r="AM37" i="4" s="1"/>
  <c r="AA31" i="4"/>
  <c r="K31" i="4"/>
  <c r="AH31" i="4" s="1"/>
  <c r="AM31" i="4" s="1"/>
  <c r="AA30" i="4"/>
  <c r="K30" i="4"/>
  <c r="AH30" i="4" s="1"/>
  <c r="AM30" i="4" s="1"/>
  <c r="AA29" i="4"/>
  <c r="K29" i="4"/>
  <c r="AH29" i="4" s="1"/>
  <c r="AM29" i="4" s="1"/>
  <c r="AA28" i="4"/>
  <c r="K28" i="4"/>
  <c r="AH28" i="4" s="1"/>
  <c r="AM28" i="4" s="1"/>
  <c r="AA27" i="4"/>
  <c r="K27" i="4"/>
  <c r="AH27" i="4" s="1"/>
  <c r="AM27" i="4" s="1"/>
  <c r="AA26" i="4"/>
  <c r="K26" i="4"/>
  <c r="Y26" i="4" s="1"/>
  <c r="AA25" i="4"/>
  <c r="K25" i="4"/>
  <c r="AH25" i="4" s="1"/>
  <c r="AM25" i="4" s="1"/>
  <c r="AA24" i="4"/>
  <c r="K24" i="4"/>
  <c r="Y24" i="4" s="1"/>
  <c r="AA23" i="4"/>
  <c r="K23" i="4"/>
  <c r="L23" i="4" s="1"/>
  <c r="Y23" i="4" s="1"/>
  <c r="AA22" i="4"/>
  <c r="N22" i="4"/>
  <c r="N49" i="4" s="1"/>
  <c r="K22" i="4"/>
  <c r="AA21" i="4"/>
  <c r="K21" i="4"/>
  <c r="AA20" i="4"/>
  <c r="L20" i="4"/>
  <c r="AA19" i="4"/>
  <c r="K19" i="4"/>
  <c r="L19" i="4" s="1"/>
  <c r="AH19" i="4" s="1"/>
  <c r="AM19" i="4" s="1"/>
  <c r="AA17" i="4"/>
  <c r="L17" i="4"/>
  <c r="AA16" i="4"/>
  <c r="K16" i="4"/>
  <c r="L16" i="4" s="1"/>
  <c r="Y16" i="4" s="1"/>
  <c r="AA15" i="4"/>
  <c r="K15" i="4"/>
  <c r="L15" i="4" s="1"/>
  <c r="Y15" i="4" s="1"/>
  <c r="AA14" i="4"/>
  <c r="L14" i="4"/>
  <c r="AH14" i="4" s="1"/>
  <c r="AM14" i="4" s="1"/>
  <c r="K14" i="4"/>
  <c r="AA13" i="4"/>
  <c r="K13" i="4"/>
  <c r="L13" i="4" s="1"/>
  <c r="AA12" i="4"/>
  <c r="K12" i="4"/>
  <c r="L12" i="4" s="1"/>
  <c r="Y12" i="4" s="1"/>
  <c r="AA11" i="4"/>
  <c r="K11" i="4"/>
  <c r="L11" i="4" s="1"/>
  <c r="Y11" i="4" s="1"/>
  <c r="AA10" i="4"/>
  <c r="AA49" i="4" s="1"/>
  <c r="K10" i="4"/>
  <c r="L10" i="4" s="1"/>
  <c r="AH10" i="4" s="1"/>
  <c r="AA31" i="1"/>
  <c r="R31" i="1"/>
  <c r="K31" i="1"/>
  <c r="W31" i="1" s="1"/>
  <c r="AQ37" i="2"/>
  <c r="AB37" i="2"/>
  <c r="Z37" i="2"/>
  <c r="AD37" i="2"/>
  <c r="M37" i="2"/>
  <c r="T37" i="2" s="1"/>
  <c r="AB35" i="2"/>
  <c r="AA35" i="2"/>
  <c r="Z35" i="2"/>
  <c r="M35" i="2"/>
  <c r="R35" i="2" s="1"/>
  <c r="M34" i="2"/>
  <c r="T34" i="2" s="1"/>
  <c r="AQ33" i="2"/>
  <c r="AB33" i="2"/>
  <c r="AA33" i="2"/>
  <c r="Z33" i="2"/>
  <c r="AD33" i="2"/>
  <c r="M33" i="2"/>
  <c r="R33" i="2" s="1"/>
  <c r="AQ32" i="2"/>
  <c r="AB32" i="2"/>
  <c r="AA32" i="2"/>
  <c r="Z32" i="2"/>
  <c r="M32" i="2"/>
  <c r="T32" i="2" s="1"/>
  <c r="AQ31" i="2"/>
  <c r="AB31" i="2"/>
  <c r="AC31" i="2" s="1"/>
  <c r="AA31" i="2"/>
  <c r="Z31" i="2"/>
  <c r="M31" i="2"/>
  <c r="R31" i="2" s="1"/>
  <c r="AQ30" i="2"/>
  <c r="AB30" i="2"/>
  <c r="AA30" i="2"/>
  <c r="Z30" i="2"/>
  <c r="AD30" i="2"/>
  <c r="M30" i="2"/>
  <c r="T30" i="2" s="1"/>
  <c r="AQ29" i="2"/>
  <c r="AB29" i="2"/>
  <c r="AC29" i="2" s="1"/>
  <c r="AA29" i="2"/>
  <c r="Z29" i="2"/>
  <c r="AD29" i="2"/>
  <c r="M29" i="2"/>
  <c r="R29" i="2" s="1"/>
  <c r="AQ28" i="2"/>
  <c r="AG28" i="2"/>
  <c r="Z28" i="2"/>
  <c r="M28" i="2"/>
  <c r="R28" i="2" s="1"/>
  <c r="AQ27" i="2"/>
  <c r="AB27" i="2"/>
  <c r="AA27" i="2"/>
  <c r="Z27" i="2"/>
  <c r="M27" i="2"/>
  <c r="R27" i="2" s="1"/>
  <c r="AQ21" i="2"/>
  <c r="AG21" i="2"/>
  <c r="AB21" i="2"/>
  <c r="AC21" i="2" s="1"/>
  <c r="AA21" i="2"/>
  <c r="Z21" i="2"/>
  <c r="AD21" i="2"/>
  <c r="M21" i="2"/>
  <c r="T21" i="2" s="1"/>
  <c r="AQ24" i="2"/>
  <c r="AB24" i="2"/>
  <c r="AA24" i="2"/>
  <c r="Z24" i="2"/>
  <c r="M24" i="2"/>
  <c r="R24" i="2" s="1"/>
  <c r="AQ23" i="2"/>
  <c r="AB23" i="2"/>
  <c r="AC23" i="2" s="1"/>
  <c r="AA23" i="2"/>
  <c r="Z23" i="2"/>
  <c r="M23" i="2"/>
  <c r="T23" i="2" s="1"/>
  <c r="AQ22" i="2"/>
  <c r="AB22" i="2"/>
  <c r="AA22" i="2"/>
  <c r="AD22" i="2"/>
  <c r="M22" i="2"/>
  <c r="R22" i="2" s="1"/>
  <c r="AQ19" i="2"/>
  <c r="M19" i="2"/>
  <c r="R19" i="2" s="1"/>
  <c r="AQ14" i="2"/>
  <c r="AB14" i="2"/>
  <c r="AA14" i="2"/>
  <c r="Z14" i="2"/>
  <c r="AD14" i="2"/>
  <c r="M14" i="2"/>
  <c r="R14" i="2" s="1"/>
  <c r="AQ13" i="2"/>
  <c r="AB13" i="2"/>
  <c r="AB40" i="2" s="1"/>
  <c r="AA13" i="2"/>
  <c r="Z13" i="2"/>
  <c r="M13" i="2"/>
  <c r="AQ18" i="2"/>
  <c r="AG18" i="2"/>
  <c r="AB18" i="2"/>
  <c r="AA18" i="2"/>
  <c r="Z18" i="2"/>
  <c r="AD18" i="2"/>
  <c r="M18" i="2"/>
  <c r="S18" i="2" s="1"/>
  <c r="AQ17" i="2"/>
  <c r="AG17" i="2"/>
  <c r="AG40" i="2" s="1"/>
  <c r="AB17" i="2"/>
  <c r="AA17" i="2"/>
  <c r="Z17" i="2"/>
  <c r="AD17" i="2"/>
  <c r="M17" i="2"/>
  <c r="R17" i="2" s="1"/>
  <c r="AQ16" i="2"/>
  <c r="AB16" i="2"/>
  <c r="Z16" i="2"/>
  <c r="M16" i="2"/>
  <c r="S16" i="2" s="1"/>
  <c r="AQ15" i="2"/>
  <c r="AB15" i="2"/>
  <c r="AA15" i="2"/>
  <c r="Z15" i="2"/>
  <c r="M15" i="2"/>
  <c r="T15" i="2" s="1"/>
  <c r="Z44" i="1"/>
  <c r="V44" i="1"/>
  <c r="U44" i="1"/>
  <c r="T44" i="1"/>
  <c r="S44" i="1"/>
  <c r="Q44" i="1"/>
  <c r="M44" i="1"/>
  <c r="G44" i="1"/>
  <c r="AA43" i="1"/>
  <c r="K43" i="1"/>
  <c r="AH43" i="1" s="1"/>
  <c r="AM43" i="1" s="1"/>
  <c r="AA42" i="1"/>
  <c r="K42" i="1"/>
  <c r="AH42" i="1" s="1"/>
  <c r="AM42" i="1" s="1"/>
  <c r="AA41" i="1"/>
  <c r="O41" i="1"/>
  <c r="K41" i="1"/>
  <c r="Y41" i="1" s="1"/>
  <c r="AA40" i="1"/>
  <c r="K40" i="1"/>
  <c r="Y40" i="1" s="1"/>
  <c r="AB40" i="1" s="1"/>
  <c r="AC40" i="1" s="1"/>
  <c r="AA39" i="1"/>
  <c r="K39" i="1"/>
  <c r="Y39" i="1" s="1"/>
  <c r="AA38" i="1"/>
  <c r="O38" i="1"/>
  <c r="K38" i="1"/>
  <c r="Y38" i="1" s="1"/>
  <c r="AB38" i="1" s="1"/>
  <c r="AC38" i="1" s="1"/>
  <c r="AA37" i="1"/>
  <c r="K37" i="1"/>
  <c r="AH37" i="1" s="1"/>
  <c r="AM37" i="1" s="1"/>
  <c r="AA35" i="1"/>
  <c r="K35" i="1"/>
  <c r="AH35" i="1" s="1"/>
  <c r="AM35" i="1" s="1"/>
  <c r="AA34" i="1"/>
  <c r="K34" i="1"/>
  <c r="AH34" i="1" s="1"/>
  <c r="AM34" i="1" s="1"/>
  <c r="AA33" i="1"/>
  <c r="X33" i="1"/>
  <c r="X44" i="1" s="1"/>
  <c r="K33" i="1"/>
  <c r="AH33" i="1" s="1"/>
  <c r="AM33" i="1" s="1"/>
  <c r="AA32" i="1"/>
  <c r="R32" i="1"/>
  <c r="K32" i="1"/>
  <c r="W32" i="1" s="1"/>
  <c r="AA36" i="1"/>
  <c r="R36" i="1"/>
  <c r="K36" i="1"/>
  <c r="W36" i="1" s="1"/>
  <c r="AA30" i="1"/>
  <c r="O30" i="1"/>
  <c r="K30" i="1"/>
  <c r="AH30" i="1" s="1"/>
  <c r="AM30" i="1" s="1"/>
  <c r="AA29" i="1"/>
  <c r="P29" i="1"/>
  <c r="P44" i="1" s="1"/>
  <c r="K29" i="1"/>
  <c r="AH29" i="1" s="1"/>
  <c r="AM29" i="1" s="1"/>
  <c r="AA28" i="1"/>
  <c r="Y28" i="1"/>
  <c r="K28" i="1"/>
  <c r="AH28" i="1" s="1"/>
  <c r="AM28" i="1" s="1"/>
  <c r="AA27" i="1"/>
  <c r="K27" i="1"/>
  <c r="AH27" i="1" s="1"/>
  <c r="AM27" i="1" s="1"/>
  <c r="AA26" i="1"/>
  <c r="K26" i="1"/>
  <c r="Y26" i="1" s="1"/>
  <c r="AA25" i="1"/>
  <c r="K25" i="1"/>
  <c r="AH25" i="1" s="1"/>
  <c r="AM25" i="1" s="1"/>
  <c r="AA24" i="1"/>
  <c r="AB24" i="1" s="1"/>
  <c r="AC24" i="1" s="1"/>
  <c r="Y24" i="1"/>
  <c r="K24" i="1"/>
  <c r="AH24" i="1" s="1"/>
  <c r="AM24" i="1" s="1"/>
  <c r="AA23" i="1"/>
  <c r="K23" i="1"/>
  <c r="L23" i="1" s="1"/>
  <c r="Y23" i="1" s="1"/>
  <c r="AB23" i="1" s="1"/>
  <c r="AC23" i="1" s="1"/>
  <c r="AA22" i="1"/>
  <c r="K22" i="1"/>
  <c r="AH22" i="1" s="1"/>
  <c r="AM22" i="1" s="1"/>
  <c r="AA21" i="1"/>
  <c r="K21" i="1"/>
  <c r="AH21" i="1" s="1"/>
  <c r="AM21" i="1" s="1"/>
  <c r="AA20" i="1"/>
  <c r="K20" i="1"/>
  <c r="L20" i="1" s="1"/>
  <c r="Y20" i="1" s="1"/>
  <c r="AA19" i="1"/>
  <c r="N19" i="1"/>
  <c r="N44" i="1" s="1"/>
  <c r="K19" i="1"/>
  <c r="L19" i="1" s="1"/>
  <c r="Y19" i="1" s="1"/>
  <c r="AA18" i="1"/>
  <c r="K18" i="1"/>
  <c r="L18" i="1" s="1"/>
  <c r="Y18" i="1" s="1"/>
  <c r="AB18" i="1" s="1"/>
  <c r="AC18" i="1" s="1"/>
  <c r="AA17" i="1"/>
  <c r="K17" i="1"/>
  <c r="L17" i="1" s="1"/>
  <c r="Y17" i="1" s="1"/>
  <c r="AA16" i="1"/>
  <c r="K16" i="1"/>
  <c r="L16" i="1" s="1"/>
  <c r="AA15" i="1"/>
  <c r="K15" i="1"/>
  <c r="L15" i="1" s="1"/>
  <c r="Y15" i="1" s="1"/>
  <c r="AA14" i="1"/>
  <c r="K14" i="1"/>
  <c r="L14" i="1" s="1"/>
  <c r="Y14" i="1" s="1"/>
  <c r="AA13" i="1"/>
  <c r="K13" i="1"/>
  <c r="AA12" i="1"/>
  <c r="K12" i="1"/>
  <c r="L12" i="1" s="1"/>
  <c r="AA11" i="1"/>
  <c r="K11" i="1"/>
  <c r="AA10" i="1"/>
  <c r="K10" i="1"/>
  <c r="L10" i="1" s="1"/>
  <c r="Y10" i="1" s="1"/>
  <c r="AB10" i="1" s="1"/>
  <c r="AC10" i="1" s="1"/>
  <c r="AA9" i="1"/>
  <c r="L9" i="1"/>
  <c r="Y9" i="1" s="1"/>
  <c r="K9" i="1"/>
  <c r="AA8" i="1"/>
  <c r="AA44" i="1" s="1"/>
  <c r="K8" i="1"/>
  <c r="V37" i="6" l="1"/>
  <c r="BK37" i="6"/>
  <c r="BG25" i="6"/>
  <c r="BA25" i="6"/>
  <c r="AB28" i="1"/>
  <c r="AC28" i="1" s="1"/>
  <c r="AD28" i="1" s="1"/>
  <c r="AC16" i="2"/>
  <c r="T13" i="2"/>
  <c r="M40" i="2"/>
  <c r="AQ40" i="2"/>
  <c r="U15" i="6"/>
  <c r="U23" i="6"/>
  <c r="BK14" i="6"/>
  <c r="V32" i="6"/>
  <c r="BK32" i="6"/>
  <c r="V29" i="6"/>
  <c r="BK29" i="6"/>
  <c r="BK36" i="6"/>
  <c r="AB19" i="1"/>
  <c r="AC19" i="1" s="1"/>
  <c r="AI19" i="1" s="1"/>
  <c r="O44" i="1"/>
  <c r="Y36" i="1"/>
  <c r="Z40" i="2"/>
  <c r="AC14" i="2"/>
  <c r="AC22" i="2"/>
  <c r="U35" i="2"/>
  <c r="AC37" i="2"/>
  <c r="AB15" i="4"/>
  <c r="AC15" i="4" s="1"/>
  <c r="AH38" i="4"/>
  <c r="AM38" i="4" s="1"/>
  <c r="R49" i="4"/>
  <c r="U28" i="6"/>
  <c r="V31" i="6"/>
  <c r="BK31" i="6"/>
  <c r="V16" i="6"/>
  <c r="AS16" i="6" s="1"/>
  <c r="AW16" i="6" s="1"/>
  <c r="V21" i="6"/>
  <c r="BK21" i="6"/>
  <c r="U24" i="6"/>
  <c r="BD26" i="6"/>
  <c r="BJ26" i="6" s="1"/>
  <c r="BC26" i="6"/>
  <c r="BI26" i="6" s="1"/>
  <c r="BB26" i="6"/>
  <c r="BK18" i="6"/>
  <c r="AB26" i="1"/>
  <c r="AC26" i="1" s="1"/>
  <c r="AB39" i="1"/>
  <c r="AC39" i="1" s="1"/>
  <c r="AA40" i="2"/>
  <c r="AC33" i="2"/>
  <c r="AO15" i="4"/>
  <c r="AO14" i="4"/>
  <c r="AD13" i="2"/>
  <c r="AD40" i="2" s="1"/>
  <c r="N40" i="2"/>
  <c r="U22" i="6"/>
  <c r="BK38" i="6"/>
  <c r="BK39" i="6"/>
  <c r="K49" i="4"/>
  <c r="AC18" i="2"/>
  <c r="AC28" i="2"/>
  <c r="R41" i="6"/>
  <c r="U30" i="6"/>
  <c r="BE39" i="6"/>
  <c r="BE31" i="6"/>
  <c r="AR31" i="6"/>
  <c r="U27" i="6"/>
  <c r="U13" i="6"/>
  <c r="AC41" i="6"/>
  <c r="U34" i="6"/>
  <c r="U20" i="6"/>
  <c r="V14" i="6"/>
  <c r="AR14" i="6" s="1"/>
  <c r="S41" i="6"/>
  <c r="V33" i="6"/>
  <c r="AR33" i="6" s="1"/>
  <c r="AR18" i="6"/>
  <c r="V22" i="6"/>
  <c r="AR22" i="6" s="1"/>
  <c r="V27" i="6"/>
  <c r="AR27" i="6" s="1"/>
  <c r="V28" i="6"/>
  <c r="AR28" i="6" s="1"/>
  <c r="V15" i="6"/>
  <c r="AR15" i="6" s="1"/>
  <c r="AS15" i="6"/>
  <c r="V19" i="6"/>
  <c r="AV19" i="6" s="1"/>
  <c r="AW19" i="6" s="1"/>
  <c r="V35" i="6"/>
  <c r="BK35" i="6" s="1"/>
  <c r="AE37" i="6"/>
  <c r="AU21" i="6"/>
  <c r="U17" i="6"/>
  <c r="BE37" i="6"/>
  <c r="AE21" i="6"/>
  <c r="BE18" i="6"/>
  <c r="AE32" i="6"/>
  <c r="AE29" i="6"/>
  <c r="T41" i="6"/>
  <c r="AR37" i="6"/>
  <c r="AE38" i="6"/>
  <c r="BE38" i="6"/>
  <c r="AS18" i="6"/>
  <c r="AW18" i="6" s="1"/>
  <c r="BE32" i="6"/>
  <c r="BE29" i="6"/>
  <c r="BE36" i="6"/>
  <c r="AE39" i="6"/>
  <c r="AY39" i="6" s="1"/>
  <c r="AZ39" i="6" s="1"/>
  <c r="AR21" i="6"/>
  <c r="BE21" i="6"/>
  <c r="AR38" i="6"/>
  <c r="AE18" i="6"/>
  <c r="AR32" i="6"/>
  <c r="AR29" i="6"/>
  <c r="AR36" i="6"/>
  <c r="AY36" i="6" s="1"/>
  <c r="AZ36" i="6" s="1"/>
  <c r="AE31" i="6"/>
  <c r="AY31" i="6" s="1"/>
  <c r="AZ31" i="6" s="1"/>
  <c r="Y20" i="4"/>
  <c r="AB20" i="4" s="1"/>
  <c r="AC20" i="4" s="1"/>
  <c r="AB26" i="4"/>
  <c r="Y34" i="4"/>
  <c r="AB11" i="4"/>
  <c r="AC11" i="4" s="1"/>
  <c r="AG11" i="4" s="1"/>
  <c r="AL11" i="4" s="1"/>
  <c r="AB23" i="4"/>
  <c r="AC23" i="4" s="1"/>
  <c r="AB24" i="4"/>
  <c r="AC24" i="4" s="1"/>
  <c r="AH24" i="4"/>
  <c r="AM24" i="4" s="1"/>
  <c r="AB38" i="4"/>
  <c r="AC38" i="4" s="1"/>
  <c r="AG38" i="4" s="1"/>
  <c r="AL38" i="4" s="1"/>
  <c r="AH39" i="4"/>
  <c r="AM39" i="4" s="1"/>
  <c r="Y41" i="4"/>
  <c r="AB41" i="4" s="1"/>
  <c r="AC41" i="4" s="1"/>
  <c r="AH12" i="4"/>
  <c r="AM12" i="4" s="1"/>
  <c r="Y25" i="4"/>
  <c r="AB25" i="4" s="1"/>
  <c r="AC25" i="4" s="1"/>
  <c r="AG25" i="4" s="1"/>
  <c r="AL25" i="4" s="1"/>
  <c r="AH26" i="4"/>
  <c r="W46" i="4"/>
  <c r="AB39" i="4"/>
  <c r="AC39" i="4" s="1"/>
  <c r="AI39" i="4" s="1"/>
  <c r="L21" i="4"/>
  <c r="Y21" i="4" s="1"/>
  <c r="AB21" i="4" s="1"/>
  <c r="AC21" i="4" s="1"/>
  <c r="AB37" i="4"/>
  <c r="AC37" i="4" s="1"/>
  <c r="AG37" i="4" s="1"/>
  <c r="AL37" i="4" s="1"/>
  <c r="Y36" i="4"/>
  <c r="W35" i="4"/>
  <c r="AB35" i="4" s="1"/>
  <c r="AC35" i="4" s="1"/>
  <c r="AH35" i="4"/>
  <c r="AM35" i="4" s="1"/>
  <c r="AH16" i="4"/>
  <c r="AM16" i="4" s="1"/>
  <c r="AB16" i="4"/>
  <c r="AC16" i="4" s="1"/>
  <c r="AI16" i="4" s="1"/>
  <c r="V36" i="2"/>
  <c r="AR36" i="2" s="1"/>
  <c r="AC15" i="2"/>
  <c r="AC27" i="2"/>
  <c r="AC35" i="2"/>
  <c r="AC17" i="2"/>
  <c r="AC24" i="2"/>
  <c r="AC30" i="2"/>
  <c r="AC32" i="2"/>
  <c r="V25" i="2"/>
  <c r="R20" i="2"/>
  <c r="U20" i="2" s="1"/>
  <c r="T26" i="2"/>
  <c r="U26" i="2" s="1"/>
  <c r="S14" i="2"/>
  <c r="S23" i="2"/>
  <c r="S29" i="2"/>
  <c r="U29" i="2" s="1"/>
  <c r="R30" i="2"/>
  <c r="AC13" i="2"/>
  <c r="R21" i="2"/>
  <c r="U21" i="2" s="1"/>
  <c r="R13" i="2"/>
  <c r="S35" i="2"/>
  <c r="R15" i="2"/>
  <c r="S19" i="2"/>
  <c r="U19" i="2" s="1"/>
  <c r="R23" i="2"/>
  <c r="S21" i="2"/>
  <c r="S27" i="2"/>
  <c r="U27" i="2" s="1"/>
  <c r="S30" i="2"/>
  <c r="AG23" i="4"/>
  <c r="AL23" i="4" s="1"/>
  <c r="AD23" i="4"/>
  <c r="AI23" i="4"/>
  <c r="AB12" i="4"/>
  <c r="AC12" i="4" s="1"/>
  <c r="AH17" i="4"/>
  <c r="AM17" i="4" s="1"/>
  <c r="Y17" i="4"/>
  <c r="AB17" i="4" s="1"/>
  <c r="AC17" i="4" s="1"/>
  <c r="AD37" i="4"/>
  <c r="AI37" i="4"/>
  <c r="AD39" i="4"/>
  <c r="AM10" i="4"/>
  <c r="AG15" i="4"/>
  <c r="AL15" i="4" s="1"/>
  <c r="AD15" i="4"/>
  <c r="AI15" i="4"/>
  <c r="AG16" i="4"/>
  <c r="AL16" i="4" s="1"/>
  <c r="AD16" i="4"/>
  <c r="AI25" i="4"/>
  <c r="AH13" i="4"/>
  <c r="AM13" i="4" s="1"/>
  <c r="Y13" i="4"/>
  <c r="AB13" i="4" s="1"/>
  <c r="AC13" i="4" s="1"/>
  <c r="AG24" i="4"/>
  <c r="AL24" i="4" s="1"/>
  <c r="AD24" i="4"/>
  <c r="AI24" i="4"/>
  <c r="AI38" i="4"/>
  <c r="L22" i="4"/>
  <c r="Y22" i="4" s="1"/>
  <c r="AB22" i="4" s="1"/>
  <c r="AC22" i="4" s="1"/>
  <c r="Y27" i="4"/>
  <c r="AB27" i="4" s="1"/>
  <c r="AC27" i="4" s="1"/>
  <c r="Y28" i="4"/>
  <c r="AB28" i="4" s="1"/>
  <c r="AC28" i="4" s="1"/>
  <c r="Y29" i="4"/>
  <c r="AB29" i="4" s="1"/>
  <c r="AC29" i="4" s="1"/>
  <c r="Y30" i="4"/>
  <c r="AB30" i="4" s="1"/>
  <c r="AC30" i="4" s="1"/>
  <c r="Y31" i="4"/>
  <c r="AB31" i="4" s="1"/>
  <c r="AC31" i="4" s="1"/>
  <c r="Y45" i="4"/>
  <c r="AB45" i="4" s="1"/>
  <c r="AC45" i="4" s="1"/>
  <c r="AH45" i="4"/>
  <c r="AM45" i="4" s="1"/>
  <c r="W34" i="4"/>
  <c r="W36" i="4"/>
  <c r="AH11" i="4"/>
  <c r="AM11" i="4" s="1"/>
  <c r="AH15" i="4"/>
  <c r="AM15" i="4" s="1"/>
  <c r="AH20" i="4"/>
  <c r="AM20" i="4" s="1"/>
  <c r="AH23" i="4"/>
  <c r="AM23" i="4" s="1"/>
  <c r="Y32" i="4"/>
  <c r="AB32" i="4" s="1"/>
  <c r="AC32" i="4" s="1"/>
  <c r="Y33" i="4"/>
  <c r="AB33" i="4" s="1"/>
  <c r="AC33" i="4" s="1"/>
  <c r="R36" i="4"/>
  <c r="Y42" i="4"/>
  <c r="AB42" i="4" s="1"/>
  <c r="AC42" i="4" s="1"/>
  <c r="Y43" i="4"/>
  <c r="AB43" i="4" s="1"/>
  <c r="AC43" i="4" s="1"/>
  <c r="Y44" i="4"/>
  <c r="AB44" i="4" s="1"/>
  <c r="AC44" i="4" s="1"/>
  <c r="Y10" i="4"/>
  <c r="Y14" i="4"/>
  <c r="AB14" i="4" s="1"/>
  <c r="AC14" i="4" s="1"/>
  <c r="Y19" i="4"/>
  <c r="AB19" i="4" s="1"/>
  <c r="AC19" i="4" s="1"/>
  <c r="Y46" i="4"/>
  <c r="AB46" i="4" s="1"/>
  <c r="AC46" i="4" s="1"/>
  <c r="Y40" i="4"/>
  <c r="AB40" i="4" s="1"/>
  <c r="AC40" i="4" s="1"/>
  <c r="Y31" i="1"/>
  <c r="AB31" i="1" s="1"/>
  <c r="AC31" i="1" s="1"/>
  <c r="AH31" i="1"/>
  <c r="AM31" i="1" s="1"/>
  <c r="AB17" i="1"/>
  <c r="AC17" i="1" s="1"/>
  <c r="AG17" i="1" s="1"/>
  <c r="AL17" i="1" s="1"/>
  <c r="AH19" i="1"/>
  <c r="AM19" i="1" s="1"/>
  <c r="Y25" i="1"/>
  <c r="AB25" i="1" s="1"/>
  <c r="AC25" i="1" s="1"/>
  <c r="AH26" i="1"/>
  <c r="AM26" i="1" s="1"/>
  <c r="Y30" i="1"/>
  <c r="AB30" i="1" s="1"/>
  <c r="AC30" i="1" s="1"/>
  <c r="AI30" i="1" s="1"/>
  <c r="AH32" i="1"/>
  <c r="AM32" i="1" s="1"/>
  <c r="AH41" i="1"/>
  <c r="AM41" i="1" s="1"/>
  <c r="AH9" i="1"/>
  <c r="AM9" i="1" s="1"/>
  <c r="AB14" i="1"/>
  <c r="AC14" i="1" s="1"/>
  <c r="AG14" i="1" s="1"/>
  <c r="AL14" i="1" s="1"/>
  <c r="AH36" i="1"/>
  <c r="AM36" i="1" s="1"/>
  <c r="Y33" i="1"/>
  <c r="AB33" i="1" s="1"/>
  <c r="AC33" i="1" s="1"/>
  <c r="AH38" i="1"/>
  <c r="AM38" i="1" s="1"/>
  <c r="AH39" i="1"/>
  <c r="AM39" i="1" s="1"/>
  <c r="AH40" i="1"/>
  <c r="AM40" i="1" s="1"/>
  <c r="AB41" i="1"/>
  <c r="AC41" i="1" s="1"/>
  <c r="AG41" i="1" s="1"/>
  <c r="AL41" i="1" s="1"/>
  <c r="AH17" i="1"/>
  <c r="AM17" i="1" s="1"/>
  <c r="Y27" i="1"/>
  <c r="AB27" i="1" s="1"/>
  <c r="AC27" i="1" s="1"/>
  <c r="Y32" i="1"/>
  <c r="L13" i="1"/>
  <c r="Y13" i="1" s="1"/>
  <c r="AB13" i="1" s="1"/>
  <c r="AC13" i="1" s="1"/>
  <c r="AH15" i="1"/>
  <c r="AM15" i="1" s="1"/>
  <c r="AH20" i="1"/>
  <c r="AM20" i="1" s="1"/>
  <c r="S15" i="2"/>
  <c r="AD15" i="2"/>
  <c r="R16" i="2"/>
  <c r="U16" i="2" s="1"/>
  <c r="R18" i="2"/>
  <c r="S13" i="2"/>
  <c r="T14" i="2"/>
  <c r="T19" i="2"/>
  <c r="T27" i="2"/>
  <c r="T29" i="2"/>
  <c r="S32" i="2"/>
  <c r="U32" i="2" s="1"/>
  <c r="S34" i="2"/>
  <c r="T35" i="2"/>
  <c r="S37" i="2"/>
  <c r="T17" i="2"/>
  <c r="T22" i="2"/>
  <c r="T24" i="2"/>
  <c r="T28" i="2"/>
  <c r="T31" i="2"/>
  <c r="T33" i="2"/>
  <c r="U33" i="2" s="1"/>
  <c r="R34" i="2"/>
  <c r="R37" i="2"/>
  <c r="U37" i="2" s="1"/>
  <c r="T16" i="2"/>
  <c r="S17" i="2"/>
  <c r="U17" i="2" s="1"/>
  <c r="T18" i="2"/>
  <c r="S22" i="2"/>
  <c r="U22" i="2" s="1"/>
  <c r="S24" i="2"/>
  <c r="U24" i="2" s="1"/>
  <c r="S28" i="2"/>
  <c r="U28" i="2" s="1"/>
  <c r="S31" i="2"/>
  <c r="U31" i="2" s="1"/>
  <c r="S33" i="2"/>
  <c r="K44" i="1"/>
  <c r="AH16" i="1"/>
  <c r="AM16" i="1" s="1"/>
  <c r="Y16" i="1"/>
  <c r="AB16" i="1" s="1"/>
  <c r="AC16" i="1" s="1"/>
  <c r="AG38" i="1"/>
  <c r="AL38" i="1" s="1"/>
  <c r="AD38" i="1"/>
  <c r="AI38" i="1"/>
  <c r="AG39" i="1"/>
  <c r="AL39" i="1" s="1"/>
  <c r="AD39" i="1"/>
  <c r="AI39" i="1"/>
  <c r="AG40" i="1"/>
  <c r="AL40" i="1" s="1"/>
  <c r="AD40" i="1"/>
  <c r="AI40" i="1"/>
  <c r="AI23" i="1"/>
  <c r="AG23" i="1"/>
  <c r="AL23" i="1" s="1"/>
  <c r="AD23" i="1"/>
  <c r="AD30" i="1"/>
  <c r="AI26" i="1"/>
  <c r="AG26" i="1"/>
  <c r="AL26" i="1" s="1"/>
  <c r="AD26" i="1"/>
  <c r="AB36" i="1"/>
  <c r="AC36" i="1" s="1"/>
  <c r="AB15" i="1"/>
  <c r="AC15" i="1" s="1"/>
  <c r="AB20" i="1"/>
  <c r="AC20" i="1" s="1"/>
  <c r="AH12" i="1"/>
  <c r="AM12" i="1" s="1"/>
  <c r="Y12" i="1"/>
  <c r="AB12" i="1" s="1"/>
  <c r="AC12" i="1" s="1"/>
  <c r="AD19" i="1"/>
  <c r="AD41" i="1"/>
  <c r="AI41" i="1"/>
  <c r="AB32" i="1"/>
  <c r="AC32" i="1" s="1"/>
  <c r="AI10" i="1"/>
  <c r="AG10" i="1"/>
  <c r="AL10" i="1" s="1"/>
  <c r="AD10" i="1"/>
  <c r="AI18" i="1"/>
  <c r="AG18" i="1"/>
  <c r="AL18" i="1" s="1"/>
  <c r="AD18" i="1"/>
  <c r="AI24" i="1"/>
  <c r="AG24" i="1"/>
  <c r="AL24" i="1" s="1"/>
  <c r="AD24" i="1"/>
  <c r="AG28" i="1"/>
  <c r="AL28" i="1" s="1"/>
  <c r="AB9" i="1"/>
  <c r="AC9" i="1" s="1"/>
  <c r="AH10" i="1"/>
  <c r="AM10" i="1" s="1"/>
  <c r="L11" i="1"/>
  <c r="Y11" i="1" s="1"/>
  <c r="AB11" i="1" s="1"/>
  <c r="AC11" i="1" s="1"/>
  <c r="AH14" i="1"/>
  <c r="AM14" i="1" s="1"/>
  <c r="AH18" i="1"/>
  <c r="AM18" i="1" s="1"/>
  <c r="AH23" i="1"/>
  <c r="AM23" i="1" s="1"/>
  <c r="W35" i="1"/>
  <c r="W44" i="1" s="1"/>
  <c r="W37" i="1"/>
  <c r="L8" i="1"/>
  <c r="Y21" i="1"/>
  <c r="AB21" i="1" s="1"/>
  <c r="AC21" i="1" s="1"/>
  <c r="Y22" i="1"/>
  <c r="AB22" i="1" s="1"/>
  <c r="AC22" i="1" s="1"/>
  <c r="Y34" i="1"/>
  <c r="AB34" i="1" s="1"/>
  <c r="AC34" i="1" s="1"/>
  <c r="R35" i="1"/>
  <c r="R37" i="1"/>
  <c r="Y42" i="1"/>
  <c r="AB42" i="1" s="1"/>
  <c r="AC42" i="1" s="1"/>
  <c r="Y43" i="1"/>
  <c r="AB43" i="1" s="1"/>
  <c r="AC43" i="1" s="1"/>
  <c r="Y29" i="1"/>
  <c r="AB29" i="1" s="1"/>
  <c r="AC29" i="1" s="1"/>
  <c r="Y35" i="1"/>
  <c r="Y37" i="1"/>
  <c r="AD33" i="1" l="1"/>
  <c r="AG33" i="1"/>
  <c r="AL33" i="1" s="1"/>
  <c r="AI33" i="1"/>
  <c r="AG20" i="4"/>
  <c r="AL20" i="4" s="1"/>
  <c r="AD20" i="4"/>
  <c r="L49" i="4"/>
  <c r="AB35" i="1"/>
  <c r="AC35" i="1" s="1"/>
  <c r="AG35" i="1" s="1"/>
  <c r="AL35" i="1" s="1"/>
  <c r="AI28" i="1"/>
  <c r="AG19" i="1"/>
  <c r="AL19" i="1" s="1"/>
  <c r="AI17" i="1"/>
  <c r="AD38" i="4"/>
  <c r="AE38" i="4" s="1"/>
  <c r="AJ38" i="4" s="1"/>
  <c r="AD25" i="4"/>
  <c r="AI11" i="4"/>
  <c r="U15" i="2"/>
  <c r="AC40" i="2"/>
  <c r="AE36" i="2"/>
  <c r="BA36" i="6"/>
  <c r="BG36" i="6"/>
  <c r="BA39" i="6"/>
  <c r="BB39" i="6" s="1"/>
  <c r="BH39" i="6" s="1"/>
  <c r="BG39" i="6"/>
  <c r="BE16" i="6"/>
  <c r="V24" i="6"/>
  <c r="AR24" i="6" s="1"/>
  <c r="BK19" i="6"/>
  <c r="AO49" i="4"/>
  <c r="AP14" i="4"/>
  <c r="AW14" i="4"/>
  <c r="BH26" i="6"/>
  <c r="BL26" i="6" s="1"/>
  <c r="BF26" i="6"/>
  <c r="BK23" i="6"/>
  <c r="V23" i="6"/>
  <c r="BK33" i="6"/>
  <c r="V34" i="6"/>
  <c r="BK34" i="6"/>
  <c r="AG30" i="1"/>
  <c r="AL30" i="1" s="1"/>
  <c r="AD14" i="1"/>
  <c r="AD17" i="1"/>
  <c r="S40" i="2"/>
  <c r="AG39" i="4"/>
  <c r="AL39" i="4" s="1"/>
  <c r="AD11" i="4"/>
  <c r="U30" i="2"/>
  <c r="AE16" i="6"/>
  <c r="AY16" i="6" s="1"/>
  <c r="AZ16" i="6" s="1"/>
  <c r="BE35" i="6"/>
  <c r="BE14" i="6"/>
  <c r="BK13" i="6"/>
  <c r="AE24" i="6"/>
  <c r="BK22" i="6"/>
  <c r="AW15" i="4"/>
  <c r="BC15" i="4" s="1"/>
  <c r="AQ15" i="4"/>
  <c r="AP15" i="4"/>
  <c r="AR15" i="4" s="1"/>
  <c r="BK15" i="6"/>
  <c r="T40" i="2"/>
  <c r="BA31" i="6"/>
  <c r="BG31" i="6"/>
  <c r="U34" i="2"/>
  <c r="U18" i="2"/>
  <c r="AB34" i="4"/>
  <c r="AC34" i="4" s="1"/>
  <c r="W49" i="4"/>
  <c r="U23" i="2"/>
  <c r="R40" i="2"/>
  <c r="AR16" i="6"/>
  <c r="BK27" i="6"/>
  <c r="V30" i="6"/>
  <c r="AR30" i="6" s="1"/>
  <c r="BK16" i="6"/>
  <c r="BK28" i="6"/>
  <c r="BB25" i="6"/>
  <c r="BC25" i="6"/>
  <c r="BI25" i="6" s="1"/>
  <c r="BD25" i="6"/>
  <c r="BJ25" i="6" s="1"/>
  <c r="Y49" i="4"/>
  <c r="AV14" i="6"/>
  <c r="AW14" i="6" s="1"/>
  <c r="U14" i="2"/>
  <c r="BE24" i="6"/>
  <c r="BE20" i="6"/>
  <c r="V20" i="6"/>
  <c r="AR20" i="6" s="1"/>
  <c r="V13" i="6"/>
  <c r="BE13" i="6" s="1"/>
  <c r="AE28" i="6"/>
  <c r="AE34" i="6"/>
  <c r="AY32" i="6"/>
  <c r="AZ32" i="6" s="1"/>
  <c r="BE34" i="6"/>
  <c r="AE30" i="6"/>
  <c r="AY30" i="6" s="1"/>
  <c r="AZ30" i="6" s="1"/>
  <c r="AE14" i="6"/>
  <c r="AE35" i="6"/>
  <c r="AE33" i="6"/>
  <c r="AY33" i="6" s="1"/>
  <c r="AZ33" i="6" s="1"/>
  <c r="AY37" i="6"/>
  <c r="AZ37" i="6" s="1"/>
  <c r="AR19" i="6"/>
  <c r="BE33" i="6"/>
  <c r="AY18" i="6"/>
  <c r="AZ18" i="6" s="1"/>
  <c r="AY29" i="6"/>
  <c r="AZ29" i="6" s="1"/>
  <c r="BE30" i="6"/>
  <c r="AY14" i="6"/>
  <c r="AZ14" i="6" s="1"/>
  <c r="BE28" i="6"/>
  <c r="AS30" i="6"/>
  <c r="AW30" i="6" s="1"/>
  <c r="AE27" i="6"/>
  <c r="AY27" i="6" s="1"/>
  <c r="AZ27" i="6" s="1"/>
  <c r="BE27" i="6"/>
  <c r="AY38" i="6"/>
  <c r="AZ38" i="6" s="1"/>
  <c r="BC31" i="6"/>
  <c r="BI31" i="6" s="1"/>
  <c r="BD31" i="6"/>
  <c r="BJ31" i="6" s="1"/>
  <c r="BB31" i="6"/>
  <c r="BH31" i="6" s="1"/>
  <c r="BD39" i="6"/>
  <c r="BJ39" i="6" s="1"/>
  <c r="BC36" i="6"/>
  <c r="BI36" i="6" s="1"/>
  <c r="BD36" i="6"/>
  <c r="BJ36" i="6" s="1"/>
  <c r="BB36" i="6"/>
  <c r="BH36" i="6" s="1"/>
  <c r="V17" i="6"/>
  <c r="BE17" i="6" s="1"/>
  <c r="AE19" i="6"/>
  <c r="BE19" i="6"/>
  <c r="BE15" i="6"/>
  <c r="AY28" i="6"/>
  <c r="AZ28" i="6" s="1"/>
  <c r="AE22" i="6"/>
  <c r="AY22" i="6" s="1"/>
  <c r="AZ22" i="6" s="1"/>
  <c r="BE22" i="6"/>
  <c r="AW15" i="6"/>
  <c r="U41" i="6"/>
  <c r="AW21" i="6"/>
  <c r="AY21" i="6" s="1"/>
  <c r="AZ21" i="6" s="1"/>
  <c r="AR35" i="6"/>
  <c r="AY35" i="6" s="1"/>
  <c r="AZ35" i="6" s="1"/>
  <c r="AR34" i="6"/>
  <c r="AE15" i="6"/>
  <c r="AI20" i="4"/>
  <c r="AM26" i="4"/>
  <c r="AC26" i="4"/>
  <c r="AI26" i="4" s="1"/>
  <c r="AI41" i="4"/>
  <c r="AD41" i="4"/>
  <c r="AE41" i="4" s="1"/>
  <c r="AJ41" i="4" s="1"/>
  <c r="AG41" i="4"/>
  <c r="AL41" i="4" s="1"/>
  <c r="AB36" i="4"/>
  <c r="AC36" i="4" s="1"/>
  <c r="AI36" i="4" s="1"/>
  <c r="AH21" i="4"/>
  <c r="AM21" i="4" s="1"/>
  <c r="AD35" i="4"/>
  <c r="AE35" i="4" s="1"/>
  <c r="AJ35" i="4" s="1"/>
  <c r="AG35" i="4"/>
  <c r="AL35" i="4" s="1"/>
  <c r="AI35" i="4"/>
  <c r="AY25" i="2"/>
  <c r="AZ25" i="2" s="1"/>
  <c r="AR25" i="2"/>
  <c r="AY36" i="2"/>
  <c r="AZ36" i="2" s="1"/>
  <c r="BE25" i="2"/>
  <c r="BK25" i="2" s="1"/>
  <c r="U13" i="2"/>
  <c r="U40" i="2" s="1"/>
  <c r="AE25" i="2"/>
  <c r="BE36" i="2"/>
  <c r="BK36" i="2" s="1"/>
  <c r="V21" i="2"/>
  <c r="AR21" i="2" s="1"/>
  <c r="V20" i="2"/>
  <c r="BE20" i="2" s="1"/>
  <c r="BK20" i="2" s="1"/>
  <c r="V23" i="2"/>
  <c r="V26" i="2"/>
  <c r="BE26" i="2" s="1"/>
  <c r="BK26" i="2" s="1"/>
  <c r="AD14" i="4"/>
  <c r="AI14" i="4"/>
  <c r="AG14" i="4"/>
  <c r="AL14" i="4" s="1"/>
  <c r="AI45" i="4"/>
  <c r="AG45" i="4"/>
  <c r="AL45" i="4" s="1"/>
  <c r="AD45" i="4"/>
  <c r="AI28" i="4"/>
  <c r="AG28" i="4"/>
  <c r="AL28" i="4" s="1"/>
  <c r="AD28" i="4"/>
  <c r="AG19" i="4"/>
  <c r="AL19" i="4" s="1"/>
  <c r="AD19" i="4"/>
  <c r="AI19" i="4"/>
  <c r="AI29" i="4"/>
  <c r="AG29" i="4"/>
  <c r="AL29" i="4" s="1"/>
  <c r="AD29" i="4"/>
  <c r="AG46" i="4"/>
  <c r="AL46" i="4" s="1"/>
  <c r="AD46" i="4"/>
  <c r="AI46" i="4"/>
  <c r="AD34" i="4"/>
  <c r="AI34" i="4"/>
  <c r="AG34" i="4"/>
  <c r="AL34" i="4" s="1"/>
  <c r="AI30" i="4"/>
  <c r="AG30" i="4"/>
  <c r="AL30" i="4" s="1"/>
  <c r="AD30" i="4"/>
  <c r="AG22" i="4"/>
  <c r="AL22" i="4" s="1"/>
  <c r="AD22" i="4"/>
  <c r="AI22" i="4"/>
  <c r="AG40" i="4"/>
  <c r="AL40" i="4" s="1"/>
  <c r="AD40" i="4"/>
  <c r="AI40" i="4"/>
  <c r="AD36" i="4"/>
  <c r="AG36" i="4"/>
  <c r="AL36" i="4" s="1"/>
  <c r="AI31" i="4"/>
  <c r="AG31" i="4"/>
  <c r="AL31" i="4" s="1"/>
  <c r="AD31" i="4"/>
  <c r="AI27" i="4"/>
  <c r="AG27" i="4"/>
  <c r="AL27" i="4" s="1"/>
  <c r="AD27" i="4"/>
  <c r="AF41" i="4"/>
  <c r="AK41" i="4" s="1"/>
  <c r="AI13" i="4"/>
  <c r="AG13" i="4"/>
  <c r="AL13" i="4" s="1"/>
  <c r="AD13" i="4"/>
  <c r="AE16" i="4"/>
  <c r="AJ16" i="4" s="1"/>
  <c r="AF16" i="4"/>
  <c r="AK16" i="4" s="1"/>
  <c r="AF15" i="4"/>
  <c r="AK15" i="4" s="1"/>
  <c r="AE15" i="4"/>
  <c r="AJ15" i="4" s="1"/>
  <c r="AI17" i="4"/>
  <c r="AG17" i="4"/>
  <c r="AL17" i="4" s="1"/>
  <c r="AD17" i="4"/>
  <c r="AG12" i="4"/>
  <c r="AL12" i="4" s="1"/>
  <c r="AD12" i="4"/>
  <c r="AI12" i="4"/>
  <c r="AF20" i="4"/>
  <c r="AK20" i="4" s="1"/>
  <c r="AE20" i="4"/>
  <c r="AJ20" i="4" s="1"/>
  <c r="AF38" i="4"/>
  <c r="AK38" i="4" s="1"/>
  <c r="AE39" i="4"/>
  <c r="AJ39" i="4" s="1"/>
  <c r="AF39" i="4"/>
  <c r="AK39" i="4" s="1"/>
  <c r="AE37" i="4"/>
  <c r="AJ37" i="4" s="1"/>
  <c r="AF37" i="4"/>
  <c r="AK37" i="4" s="1"/>
  <c r="AE11" i="4"/>
  <c r="AJ11" i="4" s="1"/>
  <c r="AF11" i="4"/>
  <c r="AK11" i="4" s="1"/>
  <c r="AG42" i="4"/>
  <c r="AL42" i="4" s="1"/>
  <c r="AD42" i="4"/>
  <c r="AI42" i="4"/>
  <c r="AG43" i="4"/>
  <c r="AL43" i="4" s="1"/>
  <c r="AD43" i="4"/>
  <c r="AI43" i="4"/>
  <c r="AG32" i="4"/>
  <c r="AL32" i="4" s="1"/>
  <c r="AD32" i="4"/>
  <c r="AI32" i="4"/>
  <c r="AF24" i="4"/>
  <c r="AK24" i="4" s="1"/>
  <c r="AE24" i="4"/>
  <c r="AJ24" i="4" s="1"/>
  <c r="AF25" i="4"/>
  <c r="AK25" i="4" s="1"/>
  <c r="AE25" i="4"/>
  <c r="AJ25" i="4" s="1"/>
  <c r="AF35" i="4"/>
  <c r="AK35" i="4" s="1"/>
  <c r="AB10" i="4"/>
  <c r="AB49" i="4" s="1"/>
  <c r="AG44" i="4"/>
  <c r="AL44" i="4" s="1"/>
  <c r="AD44" i="4"/>
  <c r="AI44" i="4"/>
  <c r="AG33" i="4"/>
  <c r="AL33" i="4" s="1"/>
  <c r="AD33" i="4"/>
  <c r="AI33" i="4"/>
  <c r="AI21" i="4"/>
  <c r="AG21" i="4"/>
  <c r="AL21" i="4" s="1"/>
  <c r="AD21" i="4"/>
  <c r="AF23" i="4"/>
  <c r="AK23" i="4" s="1"/>
  <c r="AE23" i="4"/>
  <c r="AJ23" i="4" s="1"/>
  <c r="AN15" i="4"/>
  <c r="AH22" i="4"/>
  <c r="AM22" i="4" s="1"/>
  <c r="AD25" i="1"/>
  <c r="AE25" i="1" s="1"/>
  <c r="AJ25" i="1" s="1"/>
  <c r="AI25" i="1"/>
  <c r="AG31" i="1"/>
  <c r="AL31" i="1" s="1"/>
  <c r="AD31" i="1"/>
  <c r="AI31" i="1"/>
  <c r="AD13" i="1"/>
  <c r="AF13" i="1" s="1"/>
  <c r="AK13" i="1" s="1"/>
  <c r="AN13" i="1" s="1"/>
  <c r="AG13" i="1"/>
  <c r="AL13" i="1" s="1"/>
  <c r="AI13" i="1"/>
  <c r="AD27" i="1"/>
  <c r="AI27" i="1"/>
  <c r="AG27" i="1"/>
  <c r="AL27" i="1" s="1"/>
  <c r="AG25" i="1"/>
  <c r="AL25" i="1" s="1"/>
  <c r="AB37" i="1"/>
  <c r="AC37" i="1" s="1"/>
  <c r="AD37" i="1" s="1"/>
  <c r="AH13" i="1"/>
  <c r="AM13" i="1" s="1"/>
  <c r="AI14" i="1"/>
  <c r="R44" i="1"/>
  <c r="V27" i="2"/>
  <c r="V13" i="2"/>
  <c r="V31" i="2"/>
  <c r="V32" i="2"/>
  <c r="AR32" i="2" s="1"/>
  <c r="V37" i="2"/>
  <c r="AE21" i="2"/>
  <c r="AG43" i="1"/>
  <c r="AL43" i="1" s="1"/>
  <c r="AD43" i="1"/>
  <c r="AI43" i="1"/>
  <c r="AG21" i="1"/>
  <c r="AL21" i="1" s="1"/>
  <c r="AD21" i="1"/>
  <c r="AI21" i="1"/>
  <c r="AG22" i="1"/>
  <c r="AL22" i="1" s="1"/>
  <c r="AD22" i="1"/>
  <c r="AI22" i="1"/>
  <c r="AD11" i="1"/>
  <c r="AI11" i="1"/>
  <c r="AG11" i="1"/>
  <c r="AL11" i="1" s="1"/>
  <c r="AG34" i="1"/>
  <c r="AL34" i="1" s="1"/>
  <c r="AD34" i="1"/>
  <c r="AI34" i="1"/>
  <c r="AD29" i="1"/>
  <c r="AI29" i="1"/>
  <c r="AG29" i="1"/>
  <c r="AL29" i="1" s="1"/>
  <c r="AI35" i="1"/>
  <c r="AI37" i="1"/>
  <c r="AG37" i="1"/>
  <c r="AL37" i="1" s="1"/>
  <c r="AG42" i="1"/>
  <c r="AL42" i="1" s="1"/>
  <c r="AD42" i="1"/>
  <c r="AI42" i="1"/>
  <c r="AD9" i="1"/>
  <c r="AI9" i="1"/>
  <c r="AG9" i="1"/>
  <c r="AL9" i="1" s="1"/>
  <c r="AE28" i="1"/>
  <c r="AJ28" i="1" s="1"/>
  <c r="AF28" i="1"/>
  <c r="AK28" i="1" s="1"/>
  <c r="AE10" i="1"/>
  <c r="AJ10" i="1" s="1"/>
  <c r="AF10" i="1"/>
  <c r="AK10" i="1" s="1"/>
  <c r="AG32" i="1"/>
  <c r="AL32" i="1" s="1"/>
  <c r="AD32" i="1"/>
  <c r="AI32" i="1"/>
  <c r="AF25" i="1"/>
  <c r="AK25" i="1" s="1"/>
  <c r="AE19" i="1"/>
  <c r="AJ19" i="1" s="1"/>
  <c r="AF19" i="1"/>
  <c r="AK19" i="1" s="1"/>
  <c r="AD15" i="1"/>
  <c r="AI15" i="1"/>
  <c r="AG15" i="1"/>
  <c r="AL15" i="1" s="1"/>
  <c r="AE40" i="1"/>
  <c r="AJ40" i="1" s="1"/>
  <c r="AF40" i="1"/>
  <c r="AK40" i="1" s="1"/>
  <c r="AE24" i="1"/>
  <c r="AJ24" i="1" s="1"/>
  <c r="AF24" i="1"/>
  <c r="AK24" i="1" s="1"/>
  <c r="AG20" i="1"/>
  <c r="AL20" i="1" s="1"/>
  <c r="AD20" i="1"/>
  <c r="AI20" i="1"/>
  <c r="AE27" i="1"/>
  <c r="AJ27" i="1" s="1"/>
  <c r="AF27" i="1"/>
  <c r="AK27" i="1" s="1"/>
  <c r="AE39" i="1"/>
  <c r="AJ39" i="1" s="1"/>
  <c r="AF39" i="1"/>
  <c r="AK39" i="1" s="1"/>
  <c r="AN39" i="1" s="1"/>
  <c r="AH11" i="1"/>
  <c r="AM11" i="1" s="1"/>
  <c r="AE18" i="1"/>
  <c r="AJ18" i="1" s="1"/>
  <c r="AF18" i="1"/>
  <c r="AK18" i="1" s="1"/>
  <c r="AE13" i="1"/>
  <c r="AJ13" i="1" s="1"/>
  <c r="AF41" i="1"/>
  <c r="AK41" i="1" s="1"/>
  <c r="AE41" i="1"/>
  <c r="AJ41" i="1" s="1"/>
  <c r="AG12" i="1"/>
  <c r="AL12" i="1" s="1"/>
  <c r="AD12" i="1"/>
  <c r="AI12" i="1"/>
  <c r="AE26" i="1"/>
  <c r="AJ26" i="1" s="1"/>
  <c r="AF26" i="1"/>
  <c r="AK26" i="1" s="1"/>
  <c r="AE23" i="1"/>
  <c r="AJ23" i="1" s="1"/>
  <c r="AF23" i="1"/>
  <c r="AK23" i="1" s="1"/>
  <c r="AF17" i="1"/>
  <c r="AK17" i="1" s="1"/>
  <c r="AE17" i="1"/>
  <c r="AJ17" i="1" s="1"/>
  <c r="AE38" i="1"/>
  <c r="AJ38" i="1" s="1"/>
  <c r="AF38" i="1"/>
  <c r="AK38" i="1" s="1"/>
  <c r="Y8" i="1"/>
  <c r="L44" i="1"/>
  <c r="AH8" i="1"/>
  <c r="AG16" i="1"/>
  <c r="AL16" i="1" s="1"/>
  <c r="AD16" i="1"/>
  <c r="AI16" i="1"/>
  <c r="AI36" i="1"/>
  <c r="AG36" i="1"/>
  <c r="AL36" i="1" s="1"/>
  <c r="AD36" i="1"/>
  <c r="AE14" i="1"/>
  <c r="AJ14" i="1" s="1"/>
  <c r="AF14" i="1"/>
  <c r="AK14" i="1" s="1"/>
  <c r="AE30" i="1"/>
  <c r="AJ30" i="1" s="1"/>
  <c r="AF30" i="1"/>
  <c r="AK30" i="1" s="1"/>
  <c r="AF33" i="1"/>
  <c r="AK33" i="1" s="1"/>
  <c r="AE33" i="1"/>
  <c r="AJ33" i="1" s="1"/>
  <c r="BA30" i="6" l="1"/>
  <c r="BG30" i="6"/>
  <c r="AX15" i="4"/>
  <c r="AU15" i="4"/>
  <c r="AS15" i="4"/>
  <c r="AT15" i="4" s="1"/>
  <c r="AV15" i="4"/>
  <c r="BB15" i="4" s="1"/>
  <c r="BA16" i="6"/>
  <c r="BB16" i="6" s="1"/>
  <c r="BH16" i="6" s="1"/>
  <c r="BG16" i="6"/>
  <c r="BA14" i="6"/>
  <c r="BD14" i="6" s="1"/>
  <c r="BJ14" i="6" s="1"/>
  <c r="BG14" i="6"/>
  <c r="BC14" i="4"/>
  <c r="BC49" i="4" s="1"/>
  <c r="AW49" i="4"/>
  <c r="AN33" i="1"/>
  <c r="AN41" i="4"/>
  <c r="AM49" i="4"/>
  <c r="BC39" i="6"/>
  <c r="BI39" i="6" s="1"/>
  <c r="BA27" i="6"/>
  <c r="BB27" i="6" s="1"/>
  <c r="BH27" i="6" s="1"/>
  <c r="BG27" i="6"/>
  <c r="BA18" i="6"/>
  <c r="BG18" i="6"/>
  <c r="BA33" i="6"/>
  <c r="BG33" i="6"/>
  <c r="AE20" i="6"/>
  <c r="BK20" i="6"/>
  <c r="AP49" i="4"/>
  <c r="BL36" i="6"/>
  <c r="BA28" i="6"/>
  <c r="BG28" i="6"/>
  <c r="BA37" i="6"/>
  <c r="BD37" i="6" s="1"/>
  <c r="BJ37" i="6" s="1"/>
  <c r="BG37" i="6"/>
  <c r="AD35" i="1"/>
  <c r="AN18" i="1"/>
  <c r="AN40" i="1"/>
  <c r="BA36" i="2"/>
  <c r="BD36" i="2" s="1"/>
  <c r="BJ36" i="2" s="1"/>
  <c r="BG36" i="2"/>
  <c r="BA35" i="6"/>
  <c r="BG35" i="6"/>
  <c r="BA32" i="6"/>
  <c r="BG32" i="6"/>
  <c r="BK30" i="6"/>
  <c r="AV20" i="6"/>
  <c r="AW20" i="6" s="1"/>
  <c r="BL31" i="6"/>
  <c r="AR14" i="4"/>
  <c r="BK24" i="6"/>
  <c r="BA25" i="2"/>
  <c r="BB25" i="2" s="1"/>
  <c r="BH25" i="2" s="1"/>
  <c r="BG25" i="2"/>
  <c r="AH49" i="4"/>
  <c r="BA21" i="6"/>
  <c r="BG21" i="6"/>
  <c r="BA22" i="6"/>
  <c r="BD22" i="6" s="1"/>
  <c r="BJ22" i="6" s="1"/>
  <c r="BG22" i="6"/>
  <c r="BA38" i="6"/>
  <c r="BG38" i="6"/>
  <c r="BA29" i="6"/>
  <c r="BC29" i="6" s="1"/>
  <c r="BI29" i="6" s="1"/>
  <c r="BG29" i="6"/>
  <c r="BH25" i="6"/>
  <c r="BL25" i="6" s="1"/>
  <c r="BF25" i="6"/>
  <c r="BK17" i="6"/>
  <c r="AE23" i="6"/>
  <c r="AR23" i="6"/>
  <c r="AU23" i="6"/>
  <c r="BE23" i="6"/>
  <c r="AQ14" i="4"/>
  <c r="AQ49" i="4" s="1"/>
  <c r="BL39" i="6"/>
  <c r="AU24" i="6"/>
  <c r="AW24" i="6" s="1"/>
  <c r="AY24" i="6" s="1"/>
  <c r="AZ24" i="6" s="1"/>
  <c r="AV21" i="2"/>
  <c r="AW21" i="2" s="1"/>
  <c r="AY19" i="6"/>
  <c r="AZ19" i="6" s="1"/>
  <c r="BD16" i="6"/>
  <c r="BJ16" i="6" s="1"/>
  <c r="AE13" i="6"/>
  <c r="AV13" i="6"/>
  <c r="AR13" i="6"/>
  <c r="BD38" i="6"/>
  <c r="AY34" i="6"/>
  <c r="AZ34" i="6" s="1"/>
  <c r="AY15" i="6"/>
  <c r="AZ15" i="6" s="1"/>
  <c r="BC14" i="6"/>
  <c r="BI14" i="6" s="1"/>
  <c r="BB14" i="6"/>
  <c r="BH14" i="6" s="1"/>
  <c r="BC16" i="6"/>
  <c r="BI16" i="6" s="1"/>
  <c r="BE41" i="6"/>
  <c r="BF36" i="6"/>
  <c r="BF31" i="6"/>
  <c r="BB18" i="6"/>
  <c r="BF39" i="6"/>
  <c r="BD35" i="6"/>
  <c r="BJ35" i="6" s="1"/>
  <c r="BB35" i="6"/>
  <c r="BH35" i="6" s="1"/>
  <c r="BC35" i="6"/>
  <c r="BI35" i="6" s="1"/>
  <c r="BB21" i="6"/>
  <c r="BH21" i="6" s="1"/>
  <c r="BC21" i="6"/>
  <c r="BI21" i="6" s="1"/>
  <c r="BD21" i="6"/>
  <c r="BJ21" i="6" s="1"/>
  <c r="BC27" i="6"/>
  <c r="BI27" i="6" s="1"/>
  <c r="BD27" i="6"/>
  <c r="BJ27" i="6" s="1"/>
  <c r="BC28" i="6"/>
  <c r="BI28" i="6" s="1"/>
  <c r="BD28" i="6"/>
  <c r="BJ28" i="6" s="1"/>
  <c r="BB28" i="6"/>
  <c r="BH28" i="6" s="1"/>
  <c r="BD30" i="6"/>
  <c r="BJ30" i="6" s="1"/>
  <c r="BB30" i="6"/>
  <c r="BH30" i="6" s="1"/>
  <c r="BC30" i="6"/>
  <c r="BI30" i="6" s="1"/>
  <c r="AE41" i="6"/>
  <c r="AE17" i="6"/>
  <c r="AR17" i="6"/>
  <c r="AR41" i="6" s="1"/>
  <c r="V41" i="6"/>
  <c r="AS17" i="6"/>
  <c r="AN23" i="4"/>
  <c r="AG26" i="4"/>
  <c r="AD26" i="4"/>
  <c r="AN25" i="4"/>
  <c r="AN24" i="4"/>
  <c r="AN11" i="4"/>
  <c r="AN20" i="4"/>
  <c r="AN38" i="4"/>
  <c r="AN39" i="4"/>
  <c r="AN16" i="4"/>
  <c r="AR26" i="2"/>
  <c r="BE21" i="2"/>
  <c r="BK21" i="2" s="1"/>
  <c r="BC25" i="2"/>
  <c r="BI25" i="2" s="1"/>
  <c r="V18" i="2"/>
  <c r="BE18" i="2" s="1"/>
  <c r="BK18" i="2" s="1"/>
  <c r="V33" i="2"/>
  <c r="BE27" i="2"/>
  <c r="BK27" i="2" s="1"/>
  <c r="AR27" i="2"/>
  <c r="AY27" i="2" s="1"/>
  <c r="AZ27" i="2" s="1"/>
  <c r="AE20" i="2"/>
  <c r="V34" i="2"/>
  <c r="V29" i="2"/>
  <c r="AR29" i="2" s="1"/>
  <c r="BE29" i="2"/>
  <c r="BK29" i="2" s="1"/>
  <c r="AE27" i="2"/>
  <c r="AE26" i="2"/>
  <c r="AY26" i="2" s="1"/>
  <c r="AZ26" i="2" s="1"/>
  <c r="BB36" i="2"/>
  <c r="BH36" i="2" s="1"/>
  <c r="V24" i="2"/>
  <c r="AE24" i="2" s="1"/>
  <c r="V35" i="2"/>
  <c r="AR35" i="2" s="1"/>
  <c r="BE31" i="2"/>
  <c r="BK31" i="2" s="1"/>
  <c r="AR31" i="2"/>
  <c r="V19" i="2"/>
  <c r="BE19" i="2" s="1"/>
  <c r="BK19" i="2" s="1"/>
  <c r="BE32" i="2"/>
  <c r="BK32" i="2" s="1"/>
  <c r="V14" i="2"/>
  <c r="V40" i="2" s="1"/>
  <c r="V17" i="2"/>
  <c r="AR20" i="2"/>
  <c r="AY20" i="2" s="1"/>
  <c r="AZ20" i="2" s="1"/>
  <c r="AY21" i="2"/>
  <c r="AZ21" i="2" s="1"/>
  <c r="AR37" i="2"/>
  <c r="BE37" i="2"/>
  <c r="BK37" i="2" s="1"/>
  <c r="V30" i="2"/>
  <c r="V28" i="2"/>
  <c r="AE23" i="2"/>
  <c r="BE23" i="2"/>
  <c r="BK23" i="2" s="1"/>
  <c r="V22" i="2"/>
  <c r="AE32" i="2"/>
  <c r="AY32" i="2" s="1"/>
  <c r="AZ32" i="2" s="1"/>
  <c r="AE31" i="2"/>
  <c r="AY31" i="2" s="1"/>
  <c r="AZ31" i="2" s="1"/>
  <c r="AE33" i="2"/>
  <c r="AR23" i="2"/>
  <c r="AS17" i="2"/>
  <c r="AW17" i="2" s="1"/>
  <c r="AF33" i="4"/>
  <c r="AK33" i="4" s="1"/>
  <c r="AE33" i="4"/>
  <c r="AJ33" i="4" s="1"/>
  <c r="AF43" i="4"/>
  <c r="AK43" i="4" s="1"/>
  <c r="AE43" i="4"/>
  <c r="AJ43" i="4" s="1"/>
  <c r="AE40" i="4"/>
  <c r="AJ40" i="4" s="1"/>
  <c r="AF40" i="4"/>
  <c r="AK40" i="4" s="1"/>
  <c r="AE30" i="4"/>
  <c r="AJ30" i="4" s="1"/>
  <c r="AF30" i="4"/>
  <c r="AK30" i="4" s="1"/>
  <c r="AN30" i="4" s="1"/>
  <c r="AE28" i="4"/>
  <c r="AJ28" i="4" s="1"/>
  <c r="AF28" i="4"/>
  <c r="AK28" i="4" s="1"/>
  <c r="AE14" i="4"/>
  <c r="AJ14" i="4" s="1"/>
  <c r="AF14" i="4"/>
  <c r="AK14" i="4" s="1"/>
  <c r="AN14" i="4" s="1"/>
  <c r="AF32" i="4"/>
  <c r="AK32" i="4" s="1"/>
  <c r="AE32" i="4"/>
  <c r="AJ32" i="4" s="1"/>
  <c r="AC10" i="4"/>
  <c r="AC49" i="4" s="1"/>
  <c r="AF42" i="4"/>
  <c r="AK42" i="4" s="1"/>
  <c r="AE42" i="4"/>
  <c r="AJ42" i="4" s="1"/>
  <c r="AE17" i="4"/>
  <c r="AJ17" i="4" s="1"/>
  <c r="AF17" i="4"/>
  <c r="AK17" i="4" s="1"/>
  <c r="AE46" i="4"/>
  <c r="AJ46" i="4" s="1"/>
  <c r="AF46" i="4"/>
  <c r="AK46" i="4" s="1"/>
  <c r="AE45" i="4"/>
  <c r="AJ45" i="4" s="1"/>
  <c r="AF45" i="4"/>
  <c r="AK45" i="4" s="1"/>
  <c r="AN45" i="4" s="1"/>
  <c r="AN33" i="4"/>
  <c r="AN35" i="4"/>
  <c r="AE13" i="4"/>
  <c r="AJ13" i="4" s="1"/>
  <c r="AF13" i="4"/>
  <c r="AK13" i="4" s="1"/>
  <c r="AE27" i="4"/>
  <c r="AJ27" i="4" s="1"/>
  <c r="AF27" i="4"/>
  <c r="AK27" i="4" s="1"/>
  <c r="AE36" i="4"/>
  <c r="AJ36" i="4" s="1"/>
  <c r="AF36" i="4"/>
  <c r="AK36" i="4" s="1"/>
  <c r="AE22" i="4"/>
  <c r="AJ22" i="4" s="1"/>
  <c r="AF22" i="4"/>
  <c r="AK22" i="4" s="1"/>
  <c r="AN37" i="4"/>
  <c r="AE21" i="4"/>
  <c r="AJ21" i="4" s="1"/>
  <c r="AF21" i="4"/>
  <c r="AK21" i="4" s="1"/>
  <c r="AF44" i="4"/>
  <c r="AK44" i="4" s="1"/>
  <c r="AE44" i="4"/>
  <c r="AJ44" i="4" s="1"/>
  <c r="AF12" i="4"/>
  <c r="AK12" i="4" s="1"/>
  <c r="AE12" i="4"/>
  <c r="AJ12" i="4" s="1"/>
  <c r="AE31" i="4"/>
  <c r="AJ31" i="4" s="1"/>
  <c r="AF31" i="4"/>
  <c r="AK31" i="4" s="1"/>
  <c r="AE34" i="4"/>
  <c r="AJ34" i="4" s="1"/>
  <c r="AF34" i="4"/>
  <c r="AK34" i="4" s="1"/>
  <c r="AE29" i="4"/>
  <c r="AJ29" i="4" s="1"/>
  <c r="AF29" i="4"/>
  <c r="AK29" i="4" s="1"/>
  <c r="AE19" i="4"/>
  <c r="AJ19" i="4" s="1"/>
  <c r="AF19" i="4"/>
  <c r="AK19" i="4" s="1"/>
  <c r="AN40" i="4"/>
  <c r="AN28" i="4"/>
  <c r="AN10" i="1"/>
  <c r="AN25" i="1"/>
  <c r="AE31" i="1"/>
  <c r="AJ31" i="1" s="1"/>
  <c r="AF31" i="1"/>
  <c r="AK31" i="1" s="1"/>
  <c r="AN38" i="1"/>
  <c r="AN41" i="1"/>
  <c r="AN14" i="1"/>
  <c r="AN24" i="1"/>
  <c r="AN17" i="1"/>
  <c r="AN23" i="1"/>
  <c r="V15" i="2"/>
  <c r="AS15" i="2" s="1"/>
  <c r="AS18" i="2"/>
  <c r="AW18" i="2" s="1"/>
  <c r="AR14" i="2"/>
  <c r="BE13" i="2"/>
  <c r="V16" i="2"/>
  <c r="AE18" i="2"/>
  <c r="AE37" i="2"/>
  <c r="AY37" i="2" s="1"/>
  <c r="AZ37" i="2" s="1"/>
  <c r="AE14" i="2"/>
  <c r="AV14" i="2"/>
  <c r="AW14" i="2" s="1"/>
  <c r="AR13" i="2"/>
  <c r="AV13" i="2"/>
  <c r="AU24" i="2"/>
  <c r="AW24" i="2" s="1"/>
  <c r="AE13" i="2"/>
  <c r="AR28" i="2"/>
  <c r="AH44" i="1"/>
  <c r="AM8" i="1"/>
  <c r="AE15" i="1"/>
  <c r="AJ15" i="1" s="1"/>
  <c r="AF15" i="1"/>
  <c r="AK15" i="1" s="1"/>
  <c r="AE35" i="1"/>
  <c r="AJ35" i="1" s="1"/>
  <c r="AF35" i="1"/>
  <c r="AK35" i="1" s="1"/>
  <c r="AE11" i="1"/>
  <c r="AJ11" i="1" s="1"/>
  <c r="AF11" i="1"/>
  <c r="AK11" i="1" s="1"/>
  <c r="AE29" i="1"/>
  <c r="AJ29" i="1" s="1"/>
  <c r="AF29" i="1"/>
  <c r="AK29" i="1" s="1"/>
  <c r="AF43" i="1"/>
  <c r="AK43" i="1" s="1"/>
  <c r="AE43" i="1"/>
  <c r="AJ43" i="1" s="1"/>
  <c r="AE36" i="1"/>
  <c r="AJ36" i="1" s="1"/>
  <c r="AF36" i="1"/>
  <c r="AK36" i="1" s="1"/>
  <c r="AE16" i="1"/>
  <c r="AJ16" i="1" s="1"/>
  <c r="AF16" i="1"/>
  <c r="AK16" i="1" s="1"/>
  <c r="Y44" i="1"/>
  <c r="AB8" i="1"/>
  <c r="AE32" i="1"/>
  <c r="AJ32" i="1" s="1"/>
  <c r="AF32" i="1"/>
  <c r="AK32" i="1" s="1"/>
  <c r="AF9" i="1"/>
  <c r="AK9" i="1" s="1"/>
  <c r="AE9" i="1"/>
  <c r="AJ9" i="1" s="1"/>
  <c r="AF34" i="1"/>
  <c r="AK34" i="1" s="1"/>
  <c r="AE34" i="1"/>
  <c r="AJ34" i="1" s="1"/>
  <c r="AF22" i="1"/>
  <c r="AK22" i="1" s="1"/>
  <c r="AE22" i="1"/>
  <c r="AJ22" i="1" s="1"/>
  <c r="AN30" i="1"/>
  <c r="AN26" i="1"/>
  <c r="AN27" i="1"/>
  <c r="AN28" i="1"/>
  <c r="AE12" i="1"/>
  <c r="AJ12" i="1" s="1"/>
  <c r="AF12" i="1"/>
  <c r="AK12" i="1" s="1"/>
  <c r="AF20" i="1"/>
  <c r="AK20" i="1" s="1"/>
  <c r="AE20" i="1"/>
  <c r="AJ20" i="1" s="1"/>
  <c r="AF42" i="1"/>
  <c r="AK42" i="1" s="1"/>
  <c r="AE42" i="1"/>
  <c r="AJ42" i="1" s="1"/>
  <c r="AE37" i="1"/>
  <c r="AJ37" i="1" s="1"/>
  <c r="AF37" i="1"/>
  <c r="AK37" i="1" s="1"/>
  <c r="AN37" i="1" s="1"/>
  <c r="AF21" i="1"/>
  <c r="AK21" i="1" s="1"/>
  <c r="AE21" i="1"/>
  <c r="AJ21" i="1" s="1"/>
  <c r="AN19" i="1"/>
  <c r="BA27" i="2" l="1"/>
  <c r="BG27" i="2"/>
  <c r="BL27" i="2" s="1"/>
  <c r="BA20" i="2"/>
  <c r="BG20" i="2"/>
  <c r="BA24" i="6"/>
  <c r="BG24" i="6"/>
  <c r="AZ15" i="4"/>
  <c r="BA15" i="4"/>
  <c r="AX14" i="4"/>
  <c r="AX49" i="4" s="1"/>
  <c r="AU14" i="4"/>
  <c r="AR49" i="4"/>
  <c r="AV14" i="4"/>
  <c r="AS14" i="4"/>
  <c r="AS49" i="4" s="1"/>
  <c r="BL27" i="6"/>
  <c r="AN35" i="1"/>
  <c r="AN43" i="4"/>
  <c r="BC22" i="6"/>
  <c r="BI22" i="6" s="1"/>
  <c r="BL22" i="6" s="1"/>
  <c r="BA19" i="6"/>
  <c r="BG19" i="6"/>
  <c r="BL21" i="6"/>
  <c r="BC32" i="6"/>
  <c r="BI32" i="6" s="1"/>
  <c r="BD32" i="6"/>
  <c r="BJ32" i="6" s="1"/>
  <c r="BB32" i="6"/>
  <c r="BL28" i="6"/>
  <c r="BB33" i="6"/>
  <c r="BD33" i="6"/>
  <c r="BJ33" i="6" s="1"/>
  <c r="BC33" i="6"/>
  <c r="BI33" i="6" s="1"/>
  <c r="BL14" i="6"/>
  <c r="AW23" i="6"/>
  <c r="AU41" i="6"/>
  <c r="AR18" i="2"/>
  <c r="BA31" i="2"/>
  <c r="BG31" i="2"/>
  <c r="AN32" i="1"/>
  <c r="AN11" i="1"/>
  <c r="AN15" i="1"/>
  <c r="BA37" i="2"/>
  <c r="BC37" i="2" s="1"/>
  <c r="BI37" i="2" s="1"/>
  <c r="BG37" i="2"/>
  <c r="BK13" i="2"/>
  <c r="AN44" i="4"/>
  <c r="BA32" i="2"/>
  <c r="BG32" i="2"/>
  <c r="BC36" i="2"/>
  <c r="BI36" i="2" s="1"/>
  <c r="BL36" i="2" s="1"/>
  <c r="BD25" i="2"/>
  <c r="BJ25" i="2" s="1"/>
  <c r="BL25" i="2" s="1"/>
  <c r="BF16" i="6"/>
  <c r="BB22" i="6"/>
  <c r="BH22" i="6" s="1"/>
  <c r="BF18" i="6"/>
  <c r="BH18" i="6"/>
  <c r="BD29" i="6"/>
  <c r="BJ29" i="6" s="1"/>
  <c r="BB29" i="6"/>
  <c r="BA15" i="6"/>
  <c r="BC15" i="6" s="1"/>
  <c r="BI15" i="6" s="1"/>
  <c r="BG15" i="6"/>
  <c r="BC37" i="6"/>
  <c r="AY23" i="6"/>
  <c r="AZ23" i="6" s="1"/>
  <c r="BB38" i="6"/>
  <c r="BH38" i="6" s="1"/>
  <c r="BL38" i="6" s="1"/>
  <c r="BC38" i="6"/>
  <c r="BI38" i="6" s="1"/>
  <c r="BL35" i="6"/>
  <c r="BL30" i="6"/>
  <c r="BA26" i="2"/>
  <c r="BG26" i="2"/>
  <c r="BJ38" i="6"/>
  <c r="AN29" i="1"/>
  <c r="AR19" i="2"/>
  <c r="AN46" i="4"/>
  <c r="AN42" i="4"/>
  <c r="AV19" i="2"/>
  <c r="AV40" i="2" s="1"/>
  <c r="BB37" i="6"/>
  <c r="BH37" i="6" s="1"/>
  <c r="BA34" i="6"/>
  <c r="BG34" i="6"/>
  <c r="AY20" i="6"/>
  <c r="AZ20" i="6" s="1"/>
  <c r="BC18" i="6"/>
  <c r="BI18" i="6" s="1"/>
  <c r="BD18" i="6"/>
  <c r="BJ18" i="6" s="1"/>
  <c r="BL18" i="6" s="1"/>
  <c r="BL16" i="6"/>
  <c r="AW19" i="2"/>
  <c r="BA21" i="2"/>
  <c r="BG21" i="2"/>
  <c r="BF14" i="6"/>
  <c r="BK41" i="6"/>
  <c r="AW13" i="6"/>
  <c r="AY13" i="6" s="1"/>
  <c r="AZ13" i="6" s="1"/>
  <c r="AV41" i="6"/>
  <c r="BF35" i="6"/>
  <c r="AW17" i="6"/>
  <c r="AW41" i="6" s="1"/>
  <c r="AS41" i="6"/>
  <c r="BF21" i="6"/>
  <c r="BF30" i="6"/>
  <c r="BF28" i="6"/>
  <c r="BF27" i="6"/>
  <c r="AL26" i="4"/>
  <c r="AG49" i="4"/>
  <c r="AF26" i="4"/>
  <c r="AE26" i="4"/>
  <c r="AN17" i="4"/>
  <c r="AN36" i="4"/>
  <c r="AN22" i="4"/>
  <c r="AN27" i="4"/>
  <c r="AN13" i="4"/>
  <c r="AN32" i="4"/>
  <c r="AN29" i="4"/>
  <c r="AN31" i="4"/>
  <c r="AN34" i="4"/>
  <c r="AN12" i="4"/>
  <c r="AN21" i="4"/>
  <c r="AN19" i="4"/>
  <c r="AE35" i="2"/>
  <c r="BE35" i="2"/>
  <c r="BK35" i="2" s="1"/>
  <c r="BE33" i="2"/>
  <c r="BK33" i="2" s="1"/>
  <c r="AR17" i="2"/>
  <c r="BF25" i="2"/>
  <c r="BC31" i="2"/>
  <c r="BI31" i="2" s="1"/>
  <c r="BD31" i="2"/>
  <c r="BJ31" i="2" s="1"/>
  <c r="BB31" i="2"/>
  <c r="BH31" i="2" s="1"/>
  <c r="BL31" i="2" s="1"/>
  <c r="BC32" i="2"/>
  <c r="BI32" i="2" s="1"/>
  <c r="BD32" i="2"/>
  <c r="BJ32" i="2" s="1"/>
  <c r="BB32" i="2"/>
  <c r="AW15" i="2"/>
  <c r="AE17" i="2"/>
  <c r="AY17" i="2" s="1"/>
  <c r="AZ17" i="2" s="1"/>
  <c r="AY23" i="2"/>
  <c r="AZ23" i="2" s="1"/>
  <c r="BE24" i="2"/>
  <c r="BK24" i="2" s="1"/>
  <c r="BE17" i="2"/>
  <c r="BK17" i="2" s="1"/>
  <c r="AE19" i="2"/>
  <c r="AY19" i="2" s="1"/>
  <c r="BB27" i="2"/>
  <c r="BH27" i="2" s="1"/>
  <c r="BC27" i="2"/>
  <c r="BI27" i="2" s="1"/>
  <c r="BD27" i="2"/>
  <c r="BJ27" i="2" s="1"/>
  <c r="AE34" i="2"/>
  <c r="AY34" i="2" s="1"/>
  <c r="AZ34" i="2" s="1"/>
  <c r="AR34" i="2"/>
  <c r="AE29" i="2"/>
  <c r="AY29" i="2" s="1"/>
  <c r="AZ29" i="2" s="1"/>
  <c r="AY35" i="2"/>
  <c r="AZ35" i="2" s="1"/>
  <c r="BE16" i="2"/>
  <c r="BK16" i="2" s="1"/>
  <c r="AR33" i="2"/>
  <c r="AY33" i="2" s="1"/>
  <c r="AZ33" i="2" s="1"/>
  <c r="AY18" i="2"/>
  <c r="AZ18" i="2" s="1"/>
  <c r="BE34" i="2"/>
  <c r="BK34" i="2" s="1"/>
  <c r="BD21" i="2"/>
  <c r="BJ21" i="2" s="1"/>
  <c r="BB21" i="2"/>
  <c r="BH21" i="2" s="1"/>
  <c r="BC21" i="2"/>
  <c r="BI21" i="2" s="1"/>
  <c r="AR24" i="2"/>
  <c r="AY24" i="2" s="1"/>
  <c r="AZ24" i="2" s="1"/>
  <c r="BB26" i="2"/>
  <c r="BH26" i="2" s="1"/>
  <c r="BD26" i="2"/>
  <c r="BJ26" i="2" s="1"/>
  <c r="BC26" i="2"/>
  <c r="BI26" i="2" s="1"/>
  <c r="AY14" i="2"/>
  <c r="AZ14" i="2" s="1"/>
  <c r="BE14" i="2"/>
  <c r="BE40" i="2" s="1"/>
  <c r="BB37" i="2"/>
  <c r="BH37" i="2" s="1"/>
  <c r="AS30" i="2"/>
  <c r="AW30" i="2" s="1"/>
  <c r="BE30" i="2"/>
  <c r="BK30" i="2" s="1"/>
  <c r="AE30" i="2"/>
  <c r="AR30" i="2"/>
  <c r="BE28" i="2"/>
  <c r="BK28" i="2" s="1"/>
  <c r="AE28" i="2"/>
  <c r="AY28" i="2" s="1"/>
  <c r="AZ28" i="2" s="1"/>
  <c r="AU22" i="2"/>
  <c r="AU40" i="2" s="1"/>
  <c r="AE22" i="2"/>
  <c r="BE22" i="2"/>
  <c r="BK22" i="2" s="1"/>
  <c r="AR22" i="2"/>
  <c r="BD20" i="2"/>
  <c r="BJ20" i="2" s="1"/>
  <c r="BB20" i="2"/>
  <c r="BH20" i="2" s="1"/>
  <c r="BC20" i="2"/>
  <c r="BI20" i="2" s="1"/>
  <c r="AR15" i="2"/>
  <c r="AR40" i="2" s="1"/>
  <c r="BE15" i="2"/>
  <c r="BK15" i="2" s="1"/>
  <c r="AD10" i="4"/>
  <c r="AD49" i="4" s="1"/>
  <c r="AI10" i="4"/>
  <c r="AI49" i="4" s="1"/>
  <c r="AG10" i="4"/>
  <c r="AN31" i="1"/>
  <c r="AN42" i="1"/>
  <c r="AN22" i="1"/>
  <c r="AN9" i="1"/>
  <c r="AN36" i="1"/>
  <c r="AN12" i="1"/>
  <c r="AN20" i="1"/>
  <c r="AN34" i="1"/>
  <c r="AN43" i="1"/>
  <c r="AN21" i="1"/>
  <c r="AN16" i="1"/>
  <c r="AE16" i="2"/>
  <c r="AR16" i="2"/>
  <c r="AW13" i="2"/>
  <c r="AE15" i="2"/>
  <c r="AY15" i="2" s="1"/>
  <c r="AZ15" i="2" s="1"/>
  <c r="AS16" i="2"/>
  <c r="AS40" i="2" s="1"/>
  <c r="AC8" i="1"/>
  <c r="AB44" i="1"/>
  <c r="AM44" i="1"/>
  <c r="BA13" i="6" l="1"/>
  <c r="BB13" i="6" s="1"/>
  <c r="BH13" i="6" s="1"/>
  <c r="BG13" i="6"/>
  <c r="BA34" i="2"/>
  <c r="BC34" i="2" s="1"/>
  <c r="BI34" i="2" s="1"/>
  <c r="BG34" i="2"/>
  <c r="BA17" i="2"/>
  <c r="BG17" i="2"/>
  <c r="BL17" i="2" s="1"/>
  <c r="BB34" i="6"/>
  <c r="BD34" i="6"/>
  <c r="BJ34" i="6" s="1"/>
  <c r="BD24" i="6"/>
  <c r="BJ24" i="6" s="1"/>
  <c r="BC24" i="6"/>
  <c r="BI24" i="6" s="1"/>
  <c r="BB24" i="6"/>
  <c r="BA33" i="2"/>
  <c r="BG33" i="2"/>
  <c r="BA29" i="2"/>
  <c r="BD29" i="2" s="1"/>
  <c r="BJ29" i="2" s="1"/>
  <c r="BG29" i="2"/>
  <c r="BF22" i="6"/>
  <c r="BF38" i="6"/>
  <c r="BA23" i="6"/>
  <c r="BG23" i="6"/>
  <c r="BH29" i="6"/>
  <c r="BL29" i="6" s="1"/>
  <c r="BF29" i="6"/>
  <c r="BH32" i="6"/>
  <c r="BL32" i="6" s="1"/>
  <c r="BF32" i="6"/>
  <c r="BA14" i="4"/>
  <c r="BA49" i="4" s="1"/>
  <c r="AU49" i="4"/>
  <c r="BL20" i="2"/>
  <c r="BA15" i="2"/>
  <c r="BG15" i="2"/>
  <c r="BL15" i="2" s="1"/>
  <c r="BA18" i="2"/>
  <c r="BG18" i="2"/>
  <c r="BD15" i="6"/>
  <c r="BJ15" i="6" s="1"/>
  <c r="BB15" i="6"/>
  <c r="BA28" i="2"/>
  <c r="BG28" i="2"/>
  <c r="BL28" i="2" s="1"/>
  <c r="BD37" i="2"/>
  <c r="BJ37" i="2" s="1"/>
  <c r="BL37" i="2" s="1"/>
  <c r="BF32" i="2"/>
  <c r="BH32" i="2"/>
  <c r="BL32" i="2" s="1"/>
  <c r="BL26" i="2"/>
  <c r="BF37" i="6"/>
  <c r="BI37" i="6"/>
  <c r="BL37" i="6" s="1"/>
  <c r="AT14" i="4"/>
  <c r="BA35" i="2"/>
  <c r="BG35" i="2"/>
  <c r="BL35" i="2" s="1"/>
  <c r="AE40" i="2"/>
  <c r="BA14" i="2"/>
  <c r="BG14" i="2"/>
  <c r="BA24" i="2"/>
  <c r="BG24" i="2"/>
  <c r="BF36" i="2"/>
  <c r="BA23" i="2"/>
  <c r="BG23" i="2"/>
  <c r="BC34" i="6"/>
  <c r="BI34" i="6" s="1"/>
  <c r="BA20" i="6"/>
  <c r="BG20" i="6"/>
  <c r="BH33" i="6"/>
  <c r="BL33" i="6" s="1"/>
  <c r="BF33" i="6"/>
  <c r="BB19" i="6"/>
  <c r="BC19" i="6"/>
  <c r="BI19" i="6" s="1"/>
  <c r="BD19" i="6"/>
  <c r="BJ19" i="6" s="1"/>
  <c r="BB14" i="4"/>
  <c r="BB49" i="4" s="1"/>
  <c r="AV49" i="4"/>
  <c r="BK14" i="2"/>
  <c r="BK40" i="2" s="1"/>
  <c r="AZ19" i="2"/>
  <c r="BL21" i="2"/>
  <c r="AY17" i="6"/>
  <c r="AY41" i="6" s="1"/>
  <c r="AZ17" i="6"/>
  <c r="BG17" i="6" s="1"/>
  <c r="BC13" i="6"/>
  <c r="BI13" i="6" s="1"/>
  <c r="BD13" i="6"/>
  <c r="BJ13" i="6" s="1"/>
  <c r="AJ26" i="4"/>
  <c r="AL49" i="4"/>
  <c r="AK26" i="4"/>
  <c r="BB29" i="2"/>
  <c r="BH29" i="2" s="1"/>
  <c r="BD33" i="2"/>
  <c r="BJ33" i="2" s="1"/>
  <c r="BB33" i="2"/>
  <c r="BH33" i="2" s="1"/>
  <c r="BL33" i="2" s="1"/>
  <c r="BC33" i="2"/>
  <c r="BI33" i="2" s="1"/>
  <c r="BB24" i="2"/>
  <c r="BC24" i="2"/>
  <c r="BI24" i="2" s="1"/>
  <c r="BD24" i="2"/>
  <c r="BJ24" i="2" s="1"/>
  <c r="BD18" i="2"/>
  <c r="BJ18" i="2" s="1"/>
  <c r="BC18" i="2"/>
  <c r="BI18" i="2" s="1"/>
  <c r="BB18" i="2"/>
  <c r="BH18" i="2" s="1"/>
  <c r="BD35" i="2"/>
  <c r="BJ35" i="2" s="1"/>
  <c r="BC35" i="2"/>
  <c r="BI35" i="2" s="1"/>
  <c r="BB35" i="2"/>
  <c r="BH35" i="2" s="1"/>
  <c r="BC14" i="2"/>
  <c r="BI14" i="2" s="1"/>
  <c r="BD14" i="2"/>
  <c r="BJ14" i="2" s="1"/>
  <c r="BB14" i="2"/>
  <c r="BH14" i="2" s="1"/>
  <c r="BD34" i="2"/>
  <c r="BJ34" i="2" s="1"/>
  <c r="BD17" i="2"/>
  <c r="BJ17" i="2" s="1"/>
  <c r="BB17" i="2"/>
  <c r="BH17" i="2" s="1"/>
  <c r="BC17" i="2"/>
  <c r="BI17" i="2" s="1"/>
  <c r="BF27" i="2"/>
  <c r="AY30" i="2"/>
  <c r="AZ30" i="2" s="1"/>
  <c r="BF31" i="2"/>
  <c r="AY13" i="2"/>
  <c r="AW22" i="2"/>
  <c r="AY22" i="2" s="1"/>
  <c r="AZ22" i="2" s="1"/>
  <c r="BF26" i="2"/>
  <c r="BF21" i="2"/>
  <c r="BD28" i="2"/>
  <c r="BJ28" i="2" s="1"/>
  <c r="BB28" i="2"/>
  <c r="BH28" i="2" s="1"/>
  <c r="BC28" i="2"/>
  <c r="BI28" i="2" s="1"/>
  <c r="BF20" i="2"/>
  <c r="BB15" i="2"/>
  <c r="BH15" i="2" s="1"/>
  <c r="BC15" i="2"/>
  <c r="BI15" i="2" s="1"/>
  <c r="BD15" i="2"/>
  <c r="BJ15" i="2" s="1"/>
  <c r="AE10" i="4"/>
  <c r="AE49" i="4" s="1"/>
  <c r="AF10" i="4"/>
  <c r="AF49" i="4" s="1"/>
  <c r="AL10" i="4"/>
  <c r="AW16" i="2"/>
  <c r="AY16" i="2" s="1"/>
  <c r="AZ16" i="2" s="1"/>
  <c r="AC44" i="1"/>
  <c r="AG8" i="1"/>
  <c r="AD8" i="1"/>
  <c r="AI8" i="1"/>
  <c r="AI44" i="1" s="1"/>
  <c r="BA22" i="2" l="1"/>
  <c r="BG22" i="2"/>
  <c r="BH24" i="6"/>
  <c r="BL24" i="6" s="1"/>
  <c r="BF24" i="6"/>
  <c r="AY40" i="2"/>
  <c r="BB34" i="2"/>
  <c r="BH34" i="2" s="1"/>
  <c r="BL34" i="2" s="1"/>
  <c r="BC29" i="2"/>
  <c r="BI29" i="2" s="1"/>
  <c r="BL29" i="2" s="1"/>
  <c r="BD20" i="6"/>
  <c r="BJ20" i="6" s="1"/>
  <c r="BC20" i="6"/>
  <c r="BI20" i="6" s="1"/>
  <c r="BB20" i="6"/>
  <c r="BC23" i="2"/>
  <c r="BI23" i="2" s="1"/>
  <c r="BD23" i="2"/>
  <c r="BJ23" i="2" s="1"/>
  <c r="BB23" i="2"/>
  <c r="BH34" i="6"/>
  <c r="BL34" i="6" s="1"/>
  <c r="BF34" i="6"/>
  <c r="BA16" i="2"/>
  <c r="BG16" i="2"/>
  <c r="BF37" i="2"/>
  <c r="BL18" i="2"/>
  <c r="BL13" i="6"/>
  <c r="BG41" i="6"/>
  <c r="AZ14" i="4"/>
  <c r="AZ49" i="4" s="1"/>
  <c r="AT49" i="4"/>
  <c r="BH15" i="6"/>
  <c r="BL15" i="6" s="1"/>
  <c r="BF15" i="6"/>
  <c r="BA30" i="2"/>
  <c r="BG30" i="2"/>
  <c r="BF24" i="2"/>
  <c r="BH24" i="2"/>
  <c r="BL24" i="2" s="1"/>
  <c r="AK49" i="4"/>
  <c r="BH19" i="6"/>
  <c r="BL19" i="6" s="1"/>
  <c r="BF19" i="6"/>
  <c r="AW40" i="2"/>
  <c r="BB23" i="6"/>
  <c r="BC23" i="6"/>
  <c r="BI23" i="6" s="1"/>
  <c r="BD23" i="6"/>
  <c r="BJ23" i="6" s="1"/>
  <c r="BA19" i="2"/>
  <c r="BG19" i="2"/>
  <c r="BL14" i="2"/>
  <c r="BF13" i="6"/>
  <c r="BA17" i="6"/>
  <c r="AZ41" i="6"/>
  <c r="AN26" i="4"/>
  <c r="BB22" i="2"/>
  <c r="BH22" i="2" s="1"/>
  <c r="BD22" i="2"/>
  <c r="BJ22" i="2" s="1"/>
  <c r="BC22" i="2"/>
  <c r="BI22" i="2" s="1"/>
  <c r="BB16" i="2"/>
  <c r="BH16" i="2" s="1"/>
  <c r="BD16" i="2"/>
  <c r="BJ16" i="2" s="1"/>
  <c r="BC16" i="2"/>
  <c r="BI16" i="2" s="1"/>
  <c r="AZ13" i="2"/>
  <c r="BF17" i="2"/>
  <c r="BF14" i="2"/>
  <c r="BF35" i="2"/>
  <c r="BF34" i="2"/>
  <c r="BF18" i="2"/>
  <c r="BF33" i="2"/>
  <c r="BF15" i="2"/>
  <c r="BF28" i="2"/>
  <c r="AJ10" i="4"/>
  <c r="AJ49" i="4" s="1"/>
  <c r="AK10" i="4"/>
  <c r="AG44" i="1"/>
  <c r="AL8" i="1"/>
  <c r="AD44" i="1"/>
  <c r="AE8" i="1"/>
  <c r="AF8" i="1"/>
  <c r="BC30" i="2" l="1"/>
  <c r="BI30" i="2" s="1"/>
  <c r="BB30" i="2"/>
  <c r="BH30" i="2" s="1"/>
  <c r="BH20" i="6"/>
  <c r="BL20" i="6" s="1"/>
  <c r="BF20" i="6"/>
  <c r="BH23" i="2"/>
  <c r="BL23" i="2" s="1"/>
  <c r="BF23" i="2"/>
  <c r="BL22" i="2"/>
  <c r="BH23" i="6"/>
  <c r="BL23" i="6" s="1"/>
  <c r="BF23" i="6"/>
  <c r="BF29" i="2"/>
  <c r="BD30" i="2"/>
  <c r="AN49" i="4"/>
  <c r="BL16" i="2"/>
  <c r="AZ40" i="2"/>
  <c r="BG13" i="2"/>
  <c r="BB19" i="2"/>
  <c r="BC19" i="2"/>
  <c r="BD19" i="2"/>
  <c r="BC17" i="6"/>
  <c r="BD17" i="6"/>
  <c r="BB17" i="6"/>
  <c r="BH17" i="6" s="1"/>
  <c r="BA41" i="6"/>
  <c r="BF16" i="2"/>
  <c r="BF22" i="2"/>
  <c r="BA13" i="2"/>
  <c r="BA40" i="2" s="1"/>
  <c r="AN10" i="4"/>
  <c r="AK8" i="1"/>
  <c r="AK44" i="1" s="1"/>
  <c r="AF44" i="1"/>
  <c r="AL44" i="1"/>
  <c r="AE44" i="1"/>
  <c r="AJ8" i="1"/>
  <c r="AJ44" i="1" s="1"/>
  <c r="BF30" i="2" l="1"/>
  <c r="BJ30" i="2"/>
  <c r="BL30" i="2" s="1"/>
  <c r="BC41" i="6"/>
  <c r="BI17" i="6"/>
  <c r="BL17" i="6" s="1"/>
  <c r="BG40" i="2"/>
  <c r="BD41" i="6"/>
  <c r="BJ17" i="6"/>
  <c r="BI19" i="2"/>
  <c r="BJ19" i="2"/>
  <c r="BH19" i="2"/>
  <c r="BF19" i="2"/>
  <c r="BF17" i="6"/>
  <c r="BB41" i="6"/>
  <c r="BD13" i="2"/>
  <c r="BC13" i="2"/>
  <c r="BB13" i="2"/>
  <c r="AN8" i="1"/>
  <c r="AN44" i="1" s="1"/>
  <c r="BD40" i="2" l="1"/>
  <c r="BJ13" i="2"/>
  <c r="BJ40" i="2" s="1"/>
  <c r="BH13" i="2"/>
  <c r="BB40" i="2"/>
  <c r="BC40" i="2"/>
  <c r="BI13" i="2"/>
  <c r="BI40" i="2" s="1"/>
  <c r="BL19" i="2"/>
  <c r="BI41" i="6"/>
  <c r="BJ41" i="6"/>
  <c r="BF41" i="6"/>
  <c r="BF13" i="2"/>
  <c r="BF40" i="2" s="1"/>
  <c r="BH40" i="2" l="1"/>
  <c r="BL13" i="2"/>
  <c r="BL40" i="2" s="1"/>
  <c r="BL41" i="6"/>
  <c r="BH41" i="6"/>
</calcChain>
</file>

<file path=xl/sharedStrings.xml><?xml version="1.0" encoding="utf-8"?>
<sst xmlns="http://schemas.openxmlformats.org/spreadsheetml/2006/main" count="889" uniqueCount="288">
  <si>
    <t>Бекітемін: ___________</t>
  </si>
  <si>
    <t>Аудандық білім бөлімінің басшысы: С.Н.Дауытбаева</t>
  </si>
  <si>
    <t>№</t>
  </si>
  <si>
    <t>Аты-жөні</t>
  </si>
  <si>
    <t>Лауазымы</t>
  </si>
  <si>
    <t>Білімі</t>
  </si>
  <si>
    <t>Еңбек өтілі</t>
  </si>
  <si>
    <t>Штаттық бірлік саны</t>
  </si>
  <si>
    <t>Категория</t>
  </si>
  <si>
    <t>Коэффициент</t>
  </si>
  <si>
    <t>БЛЖ (теңгеде</t>
  </si>
  <si>
    <t>Айлық еңбек ақы</t>
  </si>
  <si>
    <t xml:space="preserve">Ауылдық жерде жұмыс ісгені үшін </t>
  </si>
  <si>
    <t>Оқу кәбинетінің меңгерушісі</t>
  </si>
  <si>
    <t>Оқулықтардың кітапханалық қормен жұмыс істегені үшін</t>
  </si>
  <si>
    <t>Дезинфекцифлық құралдарды пайдалана отырып үй-жайларды /Дәретханаларды тазалағаны үшін</t>
  </si>
  <si>
    <t>Тәрбиешілердің көмекшілеріне 30</t>
  </si>
  <si>
    <t>Түнгі уақытта жұмыс істегені үшін қосымша ақы</t>
  </si>
  <si>
    <t>Жүргізушіге 30%</t>
  </si>
  <si>
    <t>Ақыл ойы мүмкіндігі шектеулі балалармен жұмыс істегені үшін</t>
  </si>
  <si>
    <t>Ғылыми-педaгогикалық бағыт бойынша магистр дәрежесі үшін</t>
  </si>
  <si>
    <t>Жүргізушіге қосымша қы жалақысына 50%</t>
  </si>
  <si>
    <t>Мереке және демалыс күндері жұмыс істегені үшін қосымша ақы</t>
  </si>
  <si>
    <t>Ауыр (ерекше ауыр) қол еңбегі және еңбек жағдайлары зиянды еңбек үшін/кочегар/повар</t>
  </si>
  <si>
    <t>Ерекше еңбек жағдайлары үшін үстемақы</t>
  </si>
  <si>
    <t>Радиациялық қатер аумағында жұмыс істегені үшін экология</t>
  </si>
  <si>
    <t>Барлық қосымша ақы</t>
  </si>
  <si>
    <t>111 Барлық айлық еңбек ақы</t>
  </si>
  <si>
    <t>121 Мемлекеттiк әлеуметтiк төлемдер қорына әлеуметтiк аударымдар</t>
  </si>
  <si>
    <t>122 Мемлекеттiк әлеуметтiк сақтандыру қорына әлеуметтiк аударымдар</t>
  </si>
  <si>
    <t>124 Міндетті әлеуметтік медициналық сақтандыруға аударымдар</t>
  </si>
  <si>
    <t>113 Өтемақы төлемдері</t>
  </si>
  <si>
    <t>Жергілікті бюджет қаражаты есебінең жылдық шығындар мың теңге</t>
  </si>
  <si>
    <t>Жиыны</t>
  </si>
  <si>
    <t>Адам саны</t>
  </si>
  <si>
    <t>Сумма</t>
  </si>
  <si>
    <t>директор м.а</t>
  </si>
  <si>
    <t>жоғары</t>
  </si>
  <si>
    <t xml:space="preserve">A1-3 -1                    </t>
  </si>
  <si>
    <t>Мухаметкалиева Ардақ Оразбековна</t>
  </si>
  <si>
    <t>директордың ОІЖО</t>
  </si>
  <si>
    <t xml:space="preserve">A1-4                   </t>
  </si>
  <si>
    <t>Дуйсенбина Әсем Газизовна</t>
  </si>
  <si>
    <t>директордың ТІЖО</t>
  </si>
  <si>
    <t>Ғазиз Елдар</t>
  </si>
  <si>
    <t>АӘД мұғалімі</t>
  </si>
  <si>
    <t>B2-2</t>
  </si>
  <si>
    <t>Ерғалиева Ұлжан Ерғалиқызы</t>
  </si>
  <si>
    <t>Даярлық сынып тәрбиешісі</t>
  </si>
  <si>
    <t>арнаулы орта</t>
  </si>
  <si>
    <t xml:space="preserve">B4-4                 </t>
  </si>
  <si>
    <t>Қанатова Арайлым</t>
  </si>
  <si>
    <t>Тәрбиеші</t>
  </si>
  <si>
    <t xml:space="preserve">B4-4                   </t>
  </si>
  <si>
    <t>Қанатов Азамат</t>
  </si>
  <si>
    <t>Қосымша білім беру педагогы</t>
  </si>
  <si>
    <t>B4-4</t>
  </si>
  <si>
    <t>Педагог психолог</t>
  </si>
  <si>
    <t>Акбидаева Кулипа</t>
  </si>
  <si>
    <t xml:space="preserve">B4-1              </t>
  </si>
  <si>
    <t>Тәлімгер</t>
  </si>
  <si>
    <t>1ж</t>
  </si>
  <si>
    <t xml:space="preserve">B4-4                       </t>
  </si>
  <si>
    <t>Мұратханұлы Әлішер</t>
  </si>
  <si>
    <t xml:space="preserve"> Зертханашы</t>
  </si>
  <si>
    <t>С3</t>
  </si>
  <si>
    <t>Кітапхана меңгерушісі</t>
  </si>
  <si>
    <t xml:space="preserve">Козбакова Карлыгаш </t>
  </si>
  <si>
    <t xml:space="preserve"> Есепші</t>
  </si>
  <si>
    <t>Мемлекеттік сатып алу маманы- есепші</t>
  </si>
  <si>
    <t>Чектыбаев Шалқар</t>
  </si>
  <si>
    <t>Шаруашылық меңгерушісі</t>
  </si>
  <si>
    <t>орта білім</t>
  </si>
  <si>
    <t>15ж 7ай</t>
  </si>
  <si>
    <t>Абулова Қамар</t>
  </si>
  <si>
    <t>Байжұманова Арайлым</t>
  </si>
  <si>
    <t>Іс-қағаздарын жүргізуші</t>
  </si>
  <si>
    <t>Акибаева Ләйла</t>
  </si>
  <si>
    <t>Көмекші тәрбиеші</t>
  </si>
  <si>
    <t>Мусатаева Салтанат</t>
  </si>
  <si>
    <t>вахтер</t>
  </si>
  <si>
    <t>1 разряд</t>
  </si>
  <si>
    <t>Жұмажанова А</t>
  </si>
  <si>
    <t>киім ілуші</t>
  </si>
  <si>
    <t>Нигметов Талгат</t>
  </si>
  <si>
    <t>аула сыпырушы</t>
  </si>
  <si>
    <t>ас үй көмекшісі</t>
  </si>
  <si>
    <t>2 разряд</t>
  </si>
  <si>
    <t>кір жуу операторы</t>
  </si>
  <si>
    <t>Ыдырышов Кайрат</t>
  </si>
  <si>
    <t>оператор</t>
  </si>
  <si>
    <t>4 разряд</t>
  </si>
  <si>
    <t>Қабылов Думан</t>
  </si>
  <si>
    <t>Сарипова Жанат</t>
  </si>
  <si>
    <t>аспазшы</t>
  </si>
  <si>
    <t>3 разряд</t>
  </si>
  <si>
    <t>Ыдырышов Дархан</t>
  </si>
  <si>
    <t>әр ғимаратқа жұмысшы</t>
  </si>
  <si>
    <t xml:space="preserve">Чектибаев Алмаз </t>
  </si>
  <si>
    <t>күзетші</t>
  </si>
  <si>
    <t>Қасымов Айболат</t>
  </si>
  <si>
    <t>Әділбекова Ғалия</t>
  </si>
  <si>
    <t>еден жуушы</t>
  </si>
  <si>
    <t>Жакупова Гулшарат</t>
  </si>
  <si>
    <t>Оспанова Айнұр</t>
  </si>
  <si>
    <t>Кунболатова Наргүл</t>
  </si>
  <si>
    <t>Кайырбеков Жанболат</t>
  </si>
  <si>
    <t>электромонтер</t>
  </si>
  <si>
    <t>Жунсов Марат</t>
  </si>
  <si>
    <t>сантехник</t>
  </si>
  <si>
    <t>Барлығы</t>
  </si>
  <si>
    <t>Мектеп директоры м.а.</t>
  </si>
  <si>
    <t>А.Дүйсенбина</t>
  </si>
  <si>
    <t>Есепші</t>
  </si>
  <si>
    <t>К.Козбакова</t>
  </si>
  <si>
    <t>Вакант</t>
  </si>
  <si>
    <t>Дипломы бойынша білімі</t>
  </si>
  <si>
    <t>Педагогикалық еңбек өтілі</t>
  </si>
  <si>
    <t>Жүргізетін пәні</t>
  </si>
  <si>
    <t>Санаттың болуы: пәндер бойынша санаты, берілген күні және аяқталу мерзімі</t>
  </si>
  <si>
    <t>Лауазымдық санаты</t>
  </si>
  <si>
    <t>Ағылшын тілін меңгеру сертификатының болуы</t>
  </si>
  <si>
    <t>Ставка</t>
  </si>
  <si>
    <t>Аптағы сағаттар саны</t>
  </si>
  <si>
    <t>Бір айдағы еңбек ақы</t>
  </si>
  <si>
    <t>Ауылдық жерде жұмыс істегені үшін</t>
  </si>
  <si>
    <t>Дәптерлерді  және жазбаша  жұмыстарды тексергені үшін</t>
  </si>
  <si>
    <t>Жаңартылған білім мазмұны үшін сағаты</t>
  </si>
  <si>
    <t>Жаңартылған білім мазмұны үшін</t>
  </si>
  <si>
    <t>Физ,хим,био, инф сабақтарын ағылшын тілінде жүргізгені үшін</t>
  </si>
  <si>
    <t>Сынып жетекшілік үшін</t>
  </si>
  <si>
    <t>Дене бітімінің даму мүмкіндігі шектеулі балалармен жұмыс істегені үшін</t>
  </si>
  <si>
    <t>Жаңашылдық эксперименттік режиміндегі бейіндік бағыттағы пәндер бойынша</t>
  </si>
  <si>
    <t>Ғылыми-педaгогикалық бағыт бойынша дәрежесі үшін</t>
  </si>
  <si>
    <t>Ерекше еңбек жағдайы үшін 10%</t>
  </si>
  <si>
    <t>Педагогикалық шеберлік санаты</t>
  </si>
  <si>
    <t>Қосымша БДО дш</t>
  </si>
  <si>
    <t>Қосымша төлемдер барлығы</t>
  </si>
  <si>
    <t>Барлық айлық еңбек ақы</t>
  </si>
  <si>
    <t>1-4 сынып</t>
  </si>
  <si>
    <t>5-9 сынып</t>
  </si>
  <si>
    <t>10-11 сынып</t>
  </si>
  <si>
    <t>Жалпы сағат</t>
  </si>
  <si>
    <t>Жалпы сома</t>
  </si>
  <si>
    <t>Педагог-зерттеуші</t>
  </si>
  <si>
    <t>Педагог-шебер</t>
  </si>
  <si>
    <t>Педагог-модератор</t>
  </si>
  <si>
    <t>Педагог-сарапшы</t>
  </si>
  <si>
    <t>Сағат саны</t>
  </si>
  <si>
    <t>жиыны</t>
  </si>
  <si>
    <t>Дүйсенбина Асем</t>
  </si>
  <si>
    <t>мұгалім</t>
  </si>
  <si>
    <t>Қайнар Унив /қазақтілі әідебиеті</t>
  </si>
  <si>
    <t>қазақ тілі ,әдебиеті</t>
  </si>
  <si>
    <t>В2-1</t>
  </si>
  <si>
    <t>Мухаметкалиева Ардақ</t>
  </si>
  <si>
    <t>СМПИ/бастауыш оқыту педогогикасы мен әдістемесі</t>
  </si>
  <si>
    <t>бастауыш</t>
  </si>
  <si>
    <t>Касымова Рауле</t>
  </si>
  <si>
    <t>ҚАЕУ/бастауыш оқыту педогогикасы мен әдістемесі</t>
  </si>
  <si>
    <t>B2-1</t>
  </si>
  <si>
    <t>Жакупова Ардак</t>
  </si>
  <si>
    <t>Аканова Каракат</t>
  </si>
  <si>
    <t>ШҚМУ /физика информатика</t>
  </si>
  <si>
    <t>физика</t>
  </si>
  <si>
    <t>педагог-сарапшы, 31.12.2021-31.12.2026</t>
  </si>
  <si>
    <t>В2-2</t>
  </si>
  <si>
    <t>информатика</t>
  </si>
  <si>
    <t>Газиз Елдар</t>
  </si>
  <si>
    <t>ШҚМУ /алғашқы әскери дайындық</t>
  </si>
  <si>
    <t xml:space="preserve">АӘД </t>
  </si>
  <si>
    <t>пед-сарапшы, 31.12.2021-31.12.2026</t>
  </si>
  <si>
    <t>ШҚМУ/биология</t>
  </si>
  <si>
    <t xml:space="preserve">биология         </t>
  </si>
  <si>
    <t>пед -модератор, 23.12.2021-23.12.2026</t>
  </si>
  <si>
    <t>C1 or above 15.11.2019</t>
  </si>
  <si>
    <t>В2-3</t>
  </si>
  <si>
    <t>химия</t>
  </si>
  <si>
    <t>санатсыз</t>
  </si>
  <si>
    <t>В4-4</t>
  </si>
  <si>
    <t>Дүйсенбекұлы Мирас</t>
  </si>
  <si>
    <t>ШҚМУ \дене шынықтыру және спорт</t>
  </si>
  <si>
    <t>дене шынықтыру</t>
  </si>
  <si>
    <t>пед- модератор, 31.12.2021-31.12.2026</t>
  </si>
  <si>
    <t>Рустембекова Айнур</t>
  </si>
  <si>
    <t>ШҚМУ /қазақ тілі мен әдебиеті</t>
  </si>
  <si>
    <t>Сайлаубаев Қайнар</t>
  </si>
  <si>
    <t>ШҚМУ/тарих ,құқық экономика негіздері</t>
  </si>
  <si>
    <t>тарих</t>
  </si>
  <si>
    <t>БайжумановаА</t>
  </si>
  <si>
    <t>Пед колледж орыс тілі әдебиеті</t>
  </si>
  <si>
    <t>орыс тілі , әдебиеті</t>
  </si>
  <si>
    <t>В2-4</t>
  </si>
  <si>
    <t>ШҚГК /қазақ тілі мен әдебиеті</t>
  </si>
  <si>
    <t>Жаhандану</t>
  </si>
  <si>
    <t>педагог-зерттеуші, 31.08.2021-31.08.2026</t>
  </si>
  <si>
    <t>В4-1</t>
  </si>
  <si>
    <t>Сакетова Назгул</t>
  </si>
  <si>
    <t>ҚМПИ/тарих .құқық негіздері</t>
  </si>
  <si>
    <t xml:space="preserve">география              </t>
  </si>
  <si>
    <t>Адал Арыс</t>
  </si>
  <si>
    <t>ШҚГК /математика</t>
  </si>
  <si>
    <t xml:space="preserve">математика    </t>
  </si>
  <si>
    <t>музыка</t>
  </si>
  <si>
    <t>Мұратханұлы Алишер</t>
  </si>
  <si>
    <t>Пед колледж дене шынықтыру</t>
  </si>
  <si>
    <t>ағылшын тілі</t>
  </si>
  <si>
    <t>барлығы</t>
  </si>
  <si>
    <t>А.Мухаметкалиева</t>
  </si>
  <si>
    <t>Нурланова Молдір</t>
  </si>
  <si>
    <t>31ж</t>
  </si>
  <si>
    <t>Мусапирова Кулпаш</t>
  </si>
  <si>
    <t>кузетші</t>
  </si>
  <si>
    <t>Исаев Бердібек</t>
  </si>
  <si>
    <t xml:space="preserve">Аканова Каракат </t>
  </si>
  <si>
    <t>12ж 5ай</t>
  </si>
  <si>
    <t>1ж7ай</t>
  </si>
  <si>
    <t>5ж 7ай</t>
  </si>
  <si>
    <t>6ж 7 ай</t>
  </si>
  <si>
    <t xml:space="preserve">16 ж </t>
  </si>
  <si>
    <t>15ж</t>
  </si>
  <si>
    <t>35ж</t>
  </si>
  <si>
    <t>35 ж</t>
  </si>
  <si>
    <t>0,7ай</t>
  </si>
  <si>
    <t>6 ж 7ай</t>
  </si>
  <si>
    <t>17ж7ай</t>
  </si>
  <si>
    <t>10 ж10 ай</t>
  </si>
  <si>
    <t>B3-4</t>
  </si>
  <si>
    <t>С1</t>
  </si>
  <si>
    <t>Шығыс Қазақстан облысы білім басқармасы Тарбағатай ауданы бойынша білім бөлімінің " Жамбыл атындағы мектеп-бала бақша кешені " КММ-нің 1 қыркүйек 2023 жылғы штаттық кестесі</t>
  </si>
  <si>
    <t>D</t>
  </si>
  <si>
    <t>Кәсіптік бағдар беруші маман</t>
  </si>
  <si>
    <r>
      <rPr>
        <b/>
        <sz val="10"/>
        <rFont val="Times New Roman"/>
        <family val="1"/>
        <charset val="204"/>
      </rPr>
      <t xml:space="preserve">Шығыс Қазақстан облысы білім басқармасы Тарбағатай ауданы бойынша білім бөлімінің " Жамбыл атындағы мектеп бала бақша кешені" КММ-нің 01 </t>
    </r>
    <r>
      <rPr>
        <b/>
        <sz val="9"/>
        <rFont val="Times New Roman"/>
        <family val="1"/>
        <charset val="204"/>
      </rPr>
      <t>қыркүйек 2023 жылғы   тарификациялау тізімі</t>
    </r>
  </si>
  <si>
    <t>37,7</t>
  </si>
  <si>
    <t>Педагог зерттеуші 31.12.20ж-31.12.25ж</t>
  </si>
  <si>
    <t>Педагог зерттеуші 31.12.22ж-31.12.27ж</t>
  </si>
  <si>
    <t>Педагог зерттеуші 31.12.18ж-31.12.23ж</t>
  </si>
  <si>
    <t>Ерғалиева Ұлжан</t>
  </si>
  <si>
    <t>Пед колледж математика</t>
  </si>
  <si>
    <t>Маратқызы Құралай</t>
  </si>
  <si>
    <t>КАССУ бастауыш</t>
  </si>
  <si>
    <t>технология</t>
  </si>
  <si>
    <t>Педагог зерттеуші 31.08.23-31.08.28ж</t>
  </si>
  <si>
    <t>бастауыш 1 сынып</t>
  </si>
  <si>
    <t>бастауыш 2-3сынып</t>
  </si>
  <si>
    <t>бастауыш  4 сынып</t>
  </si>
  <si>
    <t xml:space="preserve">Нұрланова Мөлдір </t>
  </si>
  <si>
    <t>17ж</t>
  </si>
  <si>
    <t>11ж 11ай</t>
  </si>
  <si>
    <t>7ж</t>
  </si>
  <si>
    <t>32ж</t>
  </si>
  <si>
    <t>16 ж 4</t>
  </si>
  <si>
    <t>2 ж 11ай</t>
  </si>
  <si>
    <t>С2</t>
  </si>
  <si>
    <t>Республикалық бюджет қаражаты есебінең жылдық шығындар мың теңге</t>
  </si>
  <si>
    <t>Өскен 30%</t>
  </si>
  <si>
    <t>ЖИЫНЫ</t>
  </si>
  <si>
    <t>37,11</t>
  </si>
  <si>
    <t>вакант</t>
  </si>
  <si>
    <t>Елдосова Арайгул</t>
  </si>
  <si>
    <t>ҚАУУ университеті  бастауыш,"Маман"оқу өндірістік орталығы технология</t>
  </si>
  <si>
    <t>ШҚМУ /бастауыш</t>
  </si>
  <si>
    <t>Нұрмуханбетова Қ</t>
  </si>
  <si>
    <t>ҚИГЗУ/шет тілі .екі шет тілі</t>
  </si>
  <si>
    <t>пед-модератор, 23.12.2021-23.12.2026</t>
  </si>
  <si>
    <t>ҚАЕУ /ағылшын тілі</t>
  </si>
  <si>
    <t>Республикалық бюджет қаражаты есебінең айлық шығындар мың теңге</t>
  </si>
  <si>
    <t>Ерғалиева Ұлжан Е</t>
  </si>
  <si>
    <t xml:space="preserve">Дуйсенбина Әсем </t>
  </si>
  <si>
    <t xml:space="preserve"> Республикалық "Өрлеу" әдістемелік орталыіы көркем еңбек мұғалімі</t>
  </si>
  <si>
    <r>
      <rPr>
        <b/>
        <sz val="10"/>
        <rFont val="Times New Roman"/>
        <family val="1"/>
        <charset val="204"/>
      </rPr>
      <t xml:space="preserve">Шығыс Қазақстан облысы білім басқармасы Тарбағатай ауданы бойынша білім бөлімінің " Жамбыл атындағы мектеп бала бақша кешені" КММ-нің 01 </t>
    </r>
    <r>
      <rPr>
        <b/>
        <sz val="9"/>
        <rFont val="Times New Roman"/>
        <family val="1"/>
        <charset val="204"/>
      </rPr>
      <t>қыркүйек 2023 жылғы қайта  тарификациялау тізімі</t>
    </r>
  </si>
  <si>
    <t>Кәкімбеков Айбек</t>
  </si>
  <si>
    <t>Елдосова Арайгүл</t>
  </si>
  <si>
    <t>Сакетова Назгуль</t>
  </si>
  <si>
    <t>Жунусов Марат</t>
  </si>
  <si>
    <t>пед-сарапшы, 31.08.2023-31.08.2028</t>
  </si>
  <si>
    <t>Оқу ісі жөніндегі орынбасары</t>
  </si>
  <si>
    <t>Магистр</t>
  </si>
  <si>
    <t>Келісемін: ___________</t>
  </si>
  <si>
    <t>Бекітемін:_____________</t>
  </si>
  <si>
    <t>Мектеп директоры  м.у.а  Аканова К.А.</t>
  </si>
  <si>
    <t>Бекітемін:_______________________</t>
  </si>
  <si>
    <t>Мектеп директоры м.у.а Аканова К.А.</t>
  </si>
  <si>
    <t>Әлеуметтік педагог</t>
  </si>
  <si>
    <t>В3-4</t>
  </si>
  <si>
    <t>Мектеп директоры м.у.а.</t>
  </si>
  <si>
    <t>Аканова К.А</t>
  </si>
  <si>
    <t>Козбакова К.А.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</si>
</sst>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/>
    <xf numFmtId="2" fontId="4" fillId="2" borderId="1" xfId="1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/>
    <xf numFmtId="17" fontId="1" fillId="2" borderId="0" xfId="0" applyNumberFormat="1" applyFont="1" applyFill="1"/>
    <xf numFmtId="0" fontId="5" fillId="2" borderId="1" xfId="0" applyFont="1" applyFill="1" applyBorder="1"/>
    <xf numFmtId="0" fontId="1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0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7" fillId="2" borderId="0" xfId="0" applyFont="1" applyFill="1"/>
    <xf numFmtId="1" fontId="4" fillId="2" borderId="0" xfId="0" applyNumberFormat="1" applyFont="1" applyFill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4" fillId="2" borderId="1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1" fontId="1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3" fontId="8" fillId="2" borderId="1" xfId="0" applyNumberFormat="1" applyFont="1" applyFill="1" applyBorder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0" fontId="7" fillId="2" borderId="12" xfId="0" applyNumberFormat="1" applyFont="1" applyFill="1" applyBorder="1"/>
    <xf numFmtId="0" fontId="7" fillId="2" borderId="1" xfId="0" applyNumberFormat="1" applyFont="1" applyFill="1" applyBorder="1"/>
    <xf numFmtId="0" fontId="8" fillId="2" borderId="1" xfId="0" applyFont="1" applyFill="1" applyBorder="1"/>
    <xf numFmtId="0" fontId="7" fillId="2" borderId="0" xfId="0" applyNumberFormat="1" applyFont="1" applyFill="1"/>
    <xf numFmtId="0" fontId="7" fillId="2" borderId="1" xfId="0" applyFont="1" applyFill="1" applyBorder="1"/>
    <xf numFmtId="1" fontId="6" fillId="2" borderId="1" xfId="0" applyNumberFormat="1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165" fontId="6" fillId="2" borderId="0" xfId="0" applyNumberFormat="1" applyFont="1" applyFill="1" applyBorder="1"/>
    <xf numFmtId="1" fontId="6" fillId="2" borderId="0" xfId="0" applyNumberFormat="1" applyFont="1" applyFill="1" applyBorder="1"/>
    <xf numFmtId="2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1" fontId="8" fillId="2" borderId="1" xfId="0" applyNumberFormat="1" applyFont="1" applyFill="1" applyBorder="1"/>
    <xf numFmtId="0" fontId="13" fillId="2" borderId="1" xfId="0" applyFont="1" applyFill="1" applyBorder="1"/>
    <xf numFmtId="2" fontId="1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/>
    <xf numFmtId="165" fontId="6" fillId="2" borderId="1" xfId="0" applyNumberFormat="1" applyFont="1" applyFill="1" applyBorder="1"/>
    <xf numFmtId="1" fontId="15" fillId="2" borderId="0" xfId="0" applyNumberFormat="1" applyFont="1" applyFill="1" applyBorder="1"/>
    <xf numFmtId="0" fontId="14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/>
    <xf numFmtId="0" fontId="7" fillId="2" borderId="2" xfId="0" applyFont="1" applyFill="1" applyBorder="1" applyAlignment="1">
      <alignment vertical="center"/>
    </xf>
    <xf numFmtId="9" fontId="7" fillId="2" borderId="7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9" fontId="7" fillId="2" borderId="7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textRotation="255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0" fontId="4" fillId="0" borderId="12" xfId="0" applyFont="1" applyFill="1" applyBorder="1"/>
    <xf numFmtId="0" fontId="1" fillId="0" borderId="1" xfId="0" applyFont="1" applyFill="1" applyBorder="1" applyAlignment="1">
      <alignment wrapText="1"/>
    </xf>
    <xf numFmtId="1" fontId="8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3" fontId="1" fillId="0" borderId="1" xfId="0" applyNumberFormat="1" applyFont="1" applyFill="1" applyBorder="1"/>
    <xf numFmtId="1" fontId="11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53"/>
  <sheetViews>
    <sheetView tabSelected="1" topLeftCell="AC1" workbookViewId="0">
      <selection activeCell="BG48" sqref="BG48"/>
    </sheetView>
  </sheetViews>
  <sheetFormatPr defaultColWidth="9.1796875" defaultRowHeight="13" x14ac:dyDescent="0.3"/>
  <cols>
    <col min="1" max="1" width="9.1796875" style="1"/>
    <col min="2" max="2" width="3.7265625" style="1" customWidth="1"/>
    <col min="3" max="3" width="18.453125" style="1" customWidth="1"/>
    <col min="4" max="4" width="18" style="8" customWidth="1"/>
    <col min="5" max="5" width="10.1796875" style="1" customWidth="1"/>
    <col min="6" max="6" width="7.453125" style="1" customWidth="1"/>
    <col min="7" max="7" width="6.7265625" style="1" customWidth="1"/>
    <col min="8" max="8" width="7.54296875" style="1" customWidth="1"/>
    <col min="9" max="9" width="4.54296875" style="1" customWidth="1"/>
    <col min="10" max="10" width="7.81640625" style="1" customWidth="1"/>
    <col min="11" max="11" width="7.54296875" style="1" customWidth="1"/>
    <col min="12" max="12" width="7.453125" style="1" customWidth="1"/>
    <col min="13" max="13" width="5" style="1" customWidth="1"/>
    <col min="14" max="14" width="6" style="1" customWidth="1"/>
    <col min="15" max="15" width="5.81640625" style="1" customWidth="1"/>
    <col min="16" max="17" width="5.453125" style="1" customWidth="1"/>
    <col min="18" max="18" width="7.54296875" style="1" customWidth="1"/>
    <col min="19" max="19" width="0.26953125" style="1" customWidth="1"/>
    <col min="20" max="22" width="4.26953125" style="1" customWidth="1"/>
    <col min="23" max="23" width="6" style="1" customWidth="1"/>
    <col min="24" max="24" width="5.54296875" style="1" customWidth="1"/>
    <col min="25" max="25" width="7.81640625" style="1" customWidth="1"/>
    <col min="26" max="26" width="4.1796875" style="1" customWidth="1"/>
    <col min="27" max="27" width="7.54296875" style="1" customWidth="1"/>
    <col min="28" max="28" width="8" style="1" customWidth="1"/>
    <col min="29" max="29" width="8.453125" style="1" customWidth="1"/>
    <col min="30" max="30" width="0.81640625" style="1" customWidth="1"/>
    <col min="31" max="31" width="7.453125" style="1" customWidth="1"/>
    <col min="32" max="32" width="7.1796875" style="1" customWidth="1"/>
    <col min="33" max="33" width="7.453125" style="1" customWidth="1"/>
    <col min="34" max="34" width="8.1796875" style="1" customWidth="1"/>
    <col min="35" max="35" width="6.1796875" style="1" customWidth="1"/>
    <col min="36" max="36" width="5.453125" style="1" customWidth="1"/>
    <col min="37" max="38" width="4.81640625" style="1" customWidth="1"/>
    <col min="39" max="40" width="6.1796875" style="1" customWidth="1"/>
    <col min="41" max="41" width="6.54296875" style="1" customWidth="1"/>
    <col min="42" max="42" width="6.26953125" style="1" customWidth="1"/>
    <col min="43" max="43" width="5.1796875" style="1" customWidth="1"/>
    <col min="44" max="44" width="5.81640625" style="1" customWidth="1"/>
    <col min="45" max="45" width="0.81640625" style="1" hidden="1" customWidth="1"/>
    <col min="46" max="46" width="5" style="1" customWidth="1"/>
    <col min="47" max="47" width="5.453125" style="1" customWidth="1"/>
    <col min="48" max="48" width="5.26953125" style="1" customWidth="1"/>
    <col min="49" max="49" width="6.7265625" style="1" customWidth="1"/>
    <col min="50" max="50" width="5" style="1" customWidth="1"/>
    <col min="51" max="51" width="0.1796875" style="1" customWidth="1"/>
    <col min="52" max="52" width="5.54296875" style="1" customWidth="1"/>
    <col min="53" max="53" width="5.81640625" style="1" customWidth="1"/>
    <col min="54" max="54" width="6.453125" style="1" customWidth="1"/>
    <col min="55" max="55" width="4.1796875" style="1" customWidth="1"/>
    <col min="56" max="16384" width="9.1796875" style="1"/>
  </cols>
  <sheetData>
    <row r="2" spans="2:58" ht="14" x14ac:dyDescent="0.3">
      <c r="C2" s="2" t="s">
        <v>0</v>
      </c>
      <c r="D2" s="3"/>
      <c r="L2" s="4"/>
      <c r="O2" s="4"/>
      <c r="P2" s="4"/>
    </row>
    <row r="3" spans="2:58" ht="14" x14ac:dyDescent="0.3">
      <c r="C3" s="5" t="s">
        <v>1</v>
      </c>
      <c r="D3" s="6"/>
      <c r="E3" s="7"/>
    </row>
    <row r="4" spans="2:58" ht="14" x14ac:dyDescent="0.3">
      <c r="C4" s="5"/>
      <c r="D4" s="6"/>
      <c r="E4" s="7"/>
    </row>
    <row r="5" spans="2:58" x14ac:dyDescent="0.3">
      <c r="E5" s="9" t="s">
        <v>229</v>
      </c>
      <c r="F5" s="9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58" x14ac:dyDescent="0.3"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58" s="12" customFormat="1" ht="29.5" customHeight="1" x14ac:dyDescent="0.35">
      <c r="B7" s="161" t="s">
        <v>2</v>
      </c>
      <c r="C7" s="161" t="s">
        <v>3</v>
      </c>
      <c r="D7" s="152" t="s">
        <v>4</v>
      </c>
      <c r="E7" s="152" t="s">
        <v>5</v>
      </c>
      <c r="F7" s="152" t="s">
        <v>6</v>
      </c>
      <c r="G7" s="152" t="s">
        <v>7</v>
      </c>
      <c r="H7" s="164" t="s">
        <v>8</v>
      </c>
      <c r="I7" s="164" t="s">
        <v>9</v>
      </c>
      <c r="J7" s="152" t="s">
        <v>10</v>
      </c>
      <c r="K7" s="152" t="s">
        <v>11</v>
      </c>
      <c r="L7" s="152" t="s">
        <v>12</v>
      </c>
      <c r="M7" s="152" t="s">
        <v>13</v>
      </c>
      <c r="N7" s="152" t="s">
        <v>14</v>
      </c>
      <c r="O7" s="149" t="s">
        <v>15</v>
      </c>
      <c r="P7" s="151"/>
      <c r="Q7" s="154" t="s">
        <v>16</v>
      </c>
      <c r="R7" s="154" t="s">
        <v>17</v>
      </c>
      <c r="S7" s="154" t="s">
        <v>18</v>
      </c>
      <c r="T7" s="152" t="s">
        <v>19</v>
      </c>
      <c r="U7" s="152" t="s">
        <v>20</v>
      </c>
      <c r="V7" s="152" t="s">
        <v>21</v>
      </c>
      <c r="W7" s="154" t="s">
        <v>22</v>
      </c>
      <c r="X7" s="154" t="s">
        <v>23</v>
      </c>
      <c r="Y7" s="152" t="s">
        <v>24</v>
      </c>
      <c r="Z7" s="149" t="s">
        <v>25</v>
      </c>
      <c r="AA7" s="151"/>
      <c r="AB7" s="152" t="s">
        <v>26</v>
      </c>
      <c r="AC7" s="152" t="s">
        <v>27</v>
      </c>
      <c r="AD7" s="158"/>
      <c r="AE7" s="152" t="s">
        <v>28</v>
      </c>
      <c r="AF7" s="152" t="s">
        <v>29</v>
      </c>
      <c r="AG7" s="152" t="s">
        <v>30</v>
      </c>
      <c r="AH7" s="152" t="s">
        <v>31</v>
      </c>
      <c r="AI7" s="149" t="s">
        <v>32</v>
      </c>
      <c r="AJ7" s="150"/>
      <c r="AK7" s="150"/>
      <c r="AL7" s="150"/>
      <c r="AM7" s="150"/>
      <c r="AN7" s="151"/>
      <c r="AO7" s="154" t="s">
        <v>266</v>
      </c>
      <c r="AP7" s="154"/>
      <c r="AQ7" s="154"/>
      <c r="AR7" s="154"/>
      <c r="AS7" s="154"/>
      <c r="AT7" s="154"/>
      <c r="AU7" s="154"/>
      <c r="AV7" s="154"/>
      <c r="AW7" s="154"/>
      <c r="AX7" s="154" t="s">
        <v>254</v>
      </c>
      <c r="AY7" s="154"/>
      <c r="AZ7" s="154"/>
      <c r="BA7" s="154"/>
      <c r="BB7" s="154"/>
      <c r="BC7" s="154"/>
      <c r="BD7" s="124"/>
      <c r="BE7" s="124"/>
      <c r="BF7" s="124"/>
    </row>
    <row r="8" spans="2:58" s="12" customFormat="1" ht="119.25" customHeight="1" x14ac:dyDescent="0.35">
      <c r="B8" s="162"/>
      <c r="C8" s="162"/>
      <c r="D8" s="155"/>
      <c r="E8" s="155"/>
      <c r="F8" s="155"/>
      <c r="G8" s="155"/>
      <c r="H8" s="165"/>
      <c r="I8" s="165"/>
      <c r="J8" s="155"/>
      <c r="K8" s="155"/>
      <c r="L8" s="153"/>
      <c r="M8" s="155"/>
      <c r="N8" s="153"/>
      <c r="O8" s="156"/>
      <c r="P8" s="157"/>
      <c r="Q8" s="154"/>
      <c r="R8" s="154"/>
      <c r="S8" s="154"/>
      <c r="T8" s="155"/>
      <c r="U8" s="155"/>
      <c r="V8" s="155"/>
      <c r="W8" s="154"/>
      <c r="X8" s="154"/>
      <c r="Y8" s="153"/>
      <c r="Z8" s="156"/>
      <c r="AA8" s="157"/>
      <c r="AB8" s="155"/>
      <c r="AC8" s="155"/>
      <c r="AD8" s="159"/>
      <c r="AE8" s="155"/>
      <c r="AF8" s="155"/>
      <c r="AG8" s="155"/>
      <c r="AH8" s="155"/>
      <c r="AI8" s="152" t="s">
        <v>27</v>
      </c>
      <c r="AJ8" s="152" t="s">
        <v>28</v>
      </c>
      <c r="AK8" s="152" t="s">
        <v>29</v>
      </c>
      <c r="AL8" s="152" t="s">
        <v>30</v>
      </c>
      <c r="AM8" s="152" t="s">
        <v>31</v>
      </c>
      <c r="AN8" s="152" t="s">
        <v>33</v>
      </c>
      <c r="AO8" s="152" t="s">
        <v>255</v>
      </c>
      <c r="AP8" s="54" t="s">
        <v>12</v>
      </c>
      <c r="AQ8" s="54" t="s">
        <v>24</v>
      </c>
      <c r="AR8" s="125" t="s">
        <v>256</v>
      </c>
      <c r="AS8" s="119"/>
      <c r="AT8" s="152" t="s">
        <v>28</v>
      </c>
      <c r="AU8" s="152" t="s">
        <v>29</v>
      </c>
      <c r="AV8" s="152" t="s">
        <v>30</v>
      </c>
      <c r="AW8" s="152" t="s">
        <v>31</v>
      </c>
      <c r="AX8" s="161">
        <v>111</v>
      </c>
      <c r="AY8" s="119"/>
      <c r="AZ8" s="152" t="s">
        <v>28</v>
      </c>
      <c r="BA8" s="152" t="s">
        <v>29</v>
      </c>
      <c r="BB8" s="152" t="s">
        <v>30</v>
      </c>
      <c r="BC8" s="152" t="s">
        <v>31</v>
      </c>
    </row>
    <row r="9" spans="2:58" s="12" customFormat="1" ht="111.65" customHeight="1" x14ac:dyDescent="0.35">
      <c r="B9" s="163"/>
      <c r="C9" s="163"/>
      <c r="D9" s="153"/>
      <c r="E9" s="153"/>
      <c r="F9" s="153"/>
      <c r="G9" s="153"/>
      <c r="H9" s="166"/>
      <c r="I9" s="166"/>
      <c r="J9" s="153"/>
      <c r="K9" s="153"/>
      <c r="L9" s="126">
        <v>0.25</v>
      </c>
      <c r="M9" s="153"/>
      <c r="N9" s="126">
        <v>0.3</v>
      </c>
      <c r="O9" s="127">
        <v>0.2</v>
      </c>
      <c r="P9" s="127">
        <v>0.3</v>
      </c>
      <c r="Q9" s="154"/>
      <c r="R9" s="154"/>
      <c r="S9" s="154"/>
      <c r="T9" s="153"/>
      <c r="U9" s="153"/>
      <c r="V9" s="153"/>
      <c r="W9" s="154"/>
      <c r="X9" s="154"/>
      <c r="Y9" s="126">
        <v>0.1</v>
      </c>
      <c r="Z9" s="126" t="s">
        <v>34</v>
      </c>
      <c r="AA9" s="115" t="s">
        <v>35</v>
      </c>
      <c r="AB9" s="153"/>
      <c r="AC9" s="153"/>
      <c r="AD9" s="160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20">
        <v>0.25</v>
      </c>
      <c r="AQ9" s="120">
        <v>0.1</v>
      </c>
      <c r="AR9" s="121">
        <v>111</v>
      </c>
      <c r="AS9" s="122">
        <v>0.1</v>
      </c>
      <c r="AT9" s="153"/>
      <c r="AU9" s="153"/>
      <c r="AV9" s="153"/>
      <c r="AW9" s="153"/>
      <c r="AX9" s="163"/>
      <c r="AY9" s="122">
        <v>0.1</v>
      </c>
      <c r="AZ9" s="153"/>
      <c r="BA9" s="153"/>
      <c r="BB9" s="153"/>
      <c r="BC9" s="153"/>
    </row>
    <row r="10" spans="2:58" ht="12.75" customHeight="1" x14ac:dyDescent="0.3">
      <c r="B10" s="15">
        <v>1</v>
      </c>
      <c r="C10" s="16" t="s">
        <v>214</v>
      </c>
      <c r="D10" s="17" t="s">
        <v>36</v>
      </c>
      <c r="E10" s="18" t="s">
        <v>37</v>
      </c>
      <c r="F10" s="19" t="s">
        <v>247</v>
      </c>
      <c r="G10" s="18">
        <v>1</v>
      </c>
      <c r="H10" s="20" t="s">
        <v>38</v>
      </c>
      <c r="I10" s="21">
        <v>5.59</v>
      </c>
      <c r="J10" s="15">
        <v>17697</v>
      </c>
      <c r="K10" s="22">
        <f>G10*J10*I10*2</f>
        <v>197852.46</v>
      </c>
      <c r="L10" s="22">
        <f>K10*25%</f>
        <v>49463.114999999998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>
        <f>(L10+K10)*10%</f>
        <v>24731.557499999999</v>
      </c>
      <c r="Z10" s="23"/>
      <c r="AA10" s="23">
        <f>3975*Z10</f>
        <v>0</v>
      </c>
      <c r="AB10" s="22">
        <f>AA10+Y10+X10+W10+S10+R10+Q10+P10+O10+N10+L10+V10+U10+M10+T10</f>
        <v>74194.672500000001</v>
      </c>
      <c r="AC10" s="22">
        <f t="shared" ref="AC10:AC43" si="0">AB10+K10</f>
        <v>272047.13250000001</v>
      </c>
      <c r="AD10" s="22">
        <f>AC10-AC10*10%-AA10</f>
        <v>244842.41925000001</v>
      </c>
      <c r="AE10" s="22">
        <f>AD10*6%</f>
        <v>14690.545155</v>
      </c>
      <c r="AF10" s="22">
        <f>AD10*3.5%</f>
        <v>8569.4846737500011</v>
      </c>
      <c r="AG10" s="22">
        <f t="shared" ref="AG10:AG43" si="1">AC10*3%</f>
        <v>8161.4139749999995</v>
      </c>
      <c r="AH10" s="22">
        <f>K10+L10</f>
        <v>247315.57499999998</v>
      </c>
      <c r="AI10" s="24">
        <f>(AC10/1000)*12</f>
        <v>3264.5655900000002</v>
      </c>
      <c r="AJ10" s="24">
        <f>(AE10/1000)*12</f>
        <v>176.28654186</v>
      </c>
      <c r="AK10" s="24">
        <f>(AF10/1000)*12</f>
        <v>102.83381608500001</v>
      </c>
      <c r="AL10" s="24">
        <f>(AG10/1000)*12</f>
        <v>97.936967699999997</v>
      </c>
      <c r="AM10" s="24">
        <f t="shared" ref="AM10:AM43" si="2">AH10/1000</f>
        <v>247.315575</v>
      </c>
      <c r="AN10" s="24">
        <f>AM10+AL10+AK10+AJ10+AI10</f>
        <v>3888.9384906450005</v>
      </c>
      <c r="AO10" s="25"/>
      <c r="AP10" s="25"/>
      <c r="AQ10" s="25"/>
      <c r="AR10" s="25"/>
      <c r="AS10" s="118"/>
      <c r="AT10" s="117"/>
      <c r="AU10" s="117"/>
      <c r="AV10" s="117"/>
      <c r="AW10" s="117"/>
      <c r="AX10" s="25"/>
      <c r="AY10" s="25"/>
      <c r="AZ10" s="25"/>
      <c r="BA10" s="25"/>
      <c r="BB10" s="25"/>
      <c r="BC10" s="25"/>
    </row>
    <row r="11" spans="2:58" ht="23.5" x14ac:dyDescent="0.3">
      <c r="B11" s="15">
        <v>2</v>
      </c>
      <c r="C11" s="16" t="s">
        <v>39</v>
      </c>
      <c r="D11" s="17" t="s">
        <v>40</v>
      </c>
      <c r="E11" s="18" t="s">
        <v>37</v>
      </c>
      <c r="F11" s="19">
        <v>29.7</v>
      </c>
      <c r="G11" s="18">
        <v>1</v>
      </c>
      <c r="H11" s="20" t="s">
        <v>41</v>
      </c>
      <c r="I11" s="21">
        <v>5.62</v>
      </c>
      <c r="J11" s="15">
        <v>17697</v>
      </c>
      <c r="K11" s="22">
        <f t="shared" ref="K11:K19" si="3">G11*J11*I11*2</f>
        <v>198914.28</v>
      </c>
      <c r="L11" s="22">
        <f t="shared" ref="L11:L19" si="4">K11*25%</f>
        <v>49728.57</v>
      </c>
      <c r="M11" s="25"/>
      <c r="N11" s="22"/>
      <c r="O11" s="22"/>
      <c r="P11" s="22"/>
      <c r="Q11" s="22"/>
      <c r="R11" s="25"/>
      <c r="S11" s="25"/>
      <c r="T11" s="25"/>
      <c r="U11" s="25"/>
      <c r="V11" s="25"/>
      <c r="W11" s="25"/>
      <c r="X11" s="25"/>
      <c r="Y11" s="22">
        <f t="shared" ref="Y11:Y42" si="5">(L11+K11)*10%</f>
        <v>24864.285000000003</v>
      </c>
      <c r="Z11" s="26">
        <v>1</v>
      </c>
      <c r="AA11" s="23">
        <f>3450*1.25</f>
        <v>4312.5</v>
      </c>
      <c r="AB11" s="22">
        <f t="shared" ref="AB11:AB43" si="6">AA11+Y11+X11+W11+S11+R11+Q11+P11+O11+N11+L11+V11+U11+M11+T11</f>
        <v>78905.35500000001</v>
      </c>
      <c r="AC11" s="22">
        <f t="shared" si="0"/>
        <v>277819.63500000001</v>
      </c>
      <c r="AD11" s="22">
        <f t="shared" ref="AD11:AD43" si="7">AC11-AC11*10%-AA11</f>
        <v>245725.1715</v>
      </c>
      <c r="AE11" s="22">
        <f t="shared" ref="AE11:AE43" si="8">AD11*6%</f>
        <v>14743.510289999998</v>
      </c>
      <c r="AF11" s="22">
        <f t="shared" ref="AF11:AF43" si="9">AD11*3.5%</f>
        <v>8600.3810025000002</v>
      </c>
      <c r="AG11" s="22">
        <f t="shared" si="1"/>
        <v>8334.5890500000005</v>
      </c>
      <c r="AH11" s="22">
        <f t="shared" ref="AH11:AH43" si="10">K11+L11</f>
        <v>248642.85</v>
      </c>
      <c r="AI11" s="24">
        <f t="shared" ref="AI11:AI44" si="11">(AC11/1000)*12</f>
        <v>3333.8356199999998</v>
      </c>
      <c r="AJ11" s="24">
        <f t="shared" ref="AJ11:AL27" si="12">(AE11/1000)*12</f>
        <v>176.92212347999998</v>
      </c>
      <c r="AK11" s="24">
        <f t="shared" si="12"/>
        <v>103.20457203000001</v>
      </c>
      <c r="AL11" s="24">
        <f t="shared" si="12"/>
        <v>100.01506860000001</v>
      </c>
      <c r="AM11" s="24">
        <f t="shared" si="2"/>
        <v>248.64285000000001</v>
      </c>
      <c r="AN11" s="24">
        <f t="shared" ref="AN11:AN43" si="13">AM11+AL11+AK11+AJ11+AI11</f>
        <v>3962.6202341099997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2:58" x14ac:dyDescent="0.3">
      <c r="B12" s="15">
        <v>3</v>
      </c>
      <c r="C12" s="16" t="s">
        <v>268</v>
      </c>
      <c r="D12" s="17" t="s">
        <v>43</v>
      </c>
      <c r="E12" s="18" t="s">
        <v>37</v>
      </c>
      <c r="F12" s="19">
        <v>25.08</v>
      </c>
      <c r="G12" s="18">
        <v>1</v>
      </c>
      <c r="H12" s="20" t="s">
        <v>41</v>
      </c>
      <c r="I12" s="21">
        <v>5.62</v>
      </c>
      <c r="J12" s="15">
        <v>17697</v>
      </c>
      <c r="K12" s="22">
        <f t="shared" si="3"/>
        <v>198914.28</v>
      </c>
      <c r="L12" s="22">
        <f t="shared" si="4"/>
        <v>49728.57</v>
      </c>
      <c r="M12" s="25"/>
      <c r="N12" s="22"/>
      <c r="O12" s="22"/>
      <c r="P12" s="22"/>
      <c r="Q12" s="22"/>
      <c r="R12" s="25"/>
      <c r="S12" s="25"/>
      <c r="T12" s="25"/>
      <c r="U12" s="25"/>
      <c r="V12" s="25"/>
      <c r="W12" s="25"/>
      <c r="X12" s="25"/>
      <c r="Y12" s="22">
        <f t="shared" si="5"/>
        <v>24864.285000000003</v>
      </c>
      <c r="Z12" s="23">
        <v>1</v>
      </c>
      <c r="AA12" s="23">
        <f t="shared" ref="AA12:AA20" si="14">4313*Z12</f>
        <v>4313</v>
      </c>
      <c r="AB12" s="22">
        <f t="shared" si="6"/>
        <v>78905.85500000001</v>
      </c>
      <c r="AC12" s="22">
        <f t="shared" si="0"/>
        <v>277820.13500000001</v>
      </c>
      <c r="AD12" s="22">
        <f t="shared" si="7"/>
        <v>245725.12150000001</v>
      </c>
      <c r="AE12" s="22">
        <f t="shared" si="8"/>
        <v>14743.50729</v>
      </c>
      <c r="AF12" s="22">
        <f t="shared" si="9"/>
        <v>8600.3792525000008</v>
      </c>
      <c r="AG12" s="22">
        <f t="shared" si="1"/>
        <v>8334.6040499999999</v>
      </c>
      <c r="AH12" s="22">
        <f t="shared" si="10"/>
        <v>248642.85</v>
      </c>
      <c r="AI12" s="24">
        <f t="shared" si="11"/>
        <v>3333.8416200000001</v>
      </c>
      <c r="AJ12" s="24">
        <f t="shared" si="12"/>
        <v>176.92208748000002</v>
      </c>
      <c r="AK12" s="24">
        <f t="shared" si="12"/>
        <v>103.20455103000002</v>
      </c>
      <c r="AL12" s="24">
        <f t="shared" si="12"/>
        <v>100.01524859999999</v>
      </c>
      <c r="AM12" s="24">
        <f t="shared" si="2"/>
        <v>248.64285000000001</v>
      </c>
      <c r="AN12" s="24">
        <f t="shared" si="13"/>
        <v>3962.6263571100003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</row>
    <row r="13" spans="2:58" x14ac:dyDescent="0.3">
      <c r="B13" s="15">
        <v>4</v>
      </c>
      <c r="C13" s="27" t="s">
        <v>44</v>
      </c>
      <c r="D13" s="28" t="s">
        <v>45</v>
      </c>
      <c r="E13" s="18" t="s">
        <v>37</v>
      </c>
      <c r="F13" s="19" t="s">
        <v>248</v>
      </c>
      <c r="G13" s="18">
        <v>1</v>
      </c>
      <c r="H13" s="20" t="s">
        <v>46</v>
      </c>
      <c r="I13" s="18">
        <v>4.8600000000000003</v>
      </c>
      <c r="J13" s="15">
        <v>17697</v>
      </c>
      <c r="K13" s="22">
        <f t="shared" si="3"/>
        <v>172014.84000000003</v>
      </c>
      <c r="L13" s="22">
        <f>K13*25%</f>
        <v>43003.710000000006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>
        <f>(L13+K13)*10%</f>
        <v>21501.855000000007</v>
      </c>
      <c r="Z13" s="23">
        <v>1</v>
      </c>
      <c r="AA13" s="23">
        <f t="shared" si="14"/>
        <v>4313</v>
      </c>
      <c r="AB13" s="22">
        <f>AA13+Y13+X13+W13+S13+R13+Q13+P13+O13+N13+L13+V13+U13+M13+T13</f>
        <v>68818.565000000017</v>
      </c>
      <c r="AC13" s="22">
        <f>AB13+K13</f>
        <v>240833.40500000003</v>
      </c>
      <c r="AD13" s="22">
        <f>AC13-AC13*10%-AA13</f>
        <v>212437.06450000004</v>
      </c>
      <c r="AE13" s="22">
        <f>AD13*6%</f>
        <v>12746.223870000002</v>
      </c>
      <c r="AF13" s="22">
        <f>AD13*3.5%</f>
        <v>7435.2972575000022</v>
      </c>
      <c r="AG13" s="22">
        <f>AC13*3%</f>
        <v>7225.0021500000003</v>
      </c>
      <c r="AH13" s="22">
        <f>K13+L13</f>
        <v>215018.55000000005</v>
      </c>
      <c r="AI13" s="24">
        <f t="shared" si="11"/>
        <v>2890.0008600000001</v>
      </c>
      <c r="AJ13" s="24">
        <f>(AE13/1000)*12</f>
        <v>152.95468644000002</v>
      </c>
      <c r="AK13" s="24">
        <f>(AF13/1000)*12</f>
        <v>89.223567090000017</v>
      </c>
      <c r="AL13" s="24">
        <f>(AG13/1000)*12</f>
        <v>86.700025799999992</v>
      </c>
      <c r="AM13" s="24">
        <f>AH13/1000</f>
        <v>215.01855000000003</v>
      </c>
      <c r="AN13" s="24">
        <f>AM13+AL13+AK13+AJ13+AI13</f>
        <v>3433.89768933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2:58" x14ac:dyDescent="0.3">
      <c r="B14" s="15">
        <v>5</v>
      </c>
      <c r="C14" s="18" t="s">
        <v>267</v>
      </c>
      <c r="D14" s="29" t="s">
        <v>48</v>
      </c>
      <c r="E14" s="18" t="s">
        <v>49</v>
      </c>
      <c r="F14" s="19" t="s">
        <v>216</v>
      </c>
      <c r="G14" s="18">
        <v>1</v>
      </c>
      <c r="H14" s="20" t="s">
        <v>50</v>
      </c>
      <c r="I14" s="18">
        <v>3.36</v>
      </c>
      <c r="J14" s="15">
        <v>17697</v>
      </c>
      <c r="K14" s="22">
        <f t="shared" si="3"/>
        <v>118923.84</v>
      </c>
      <c r="L14" s="22">
        <f t="shared" si="4"/>
        <v>29730.959999999999</v>
      </c>
      <c r="M14" s="25"/>
      <c r="N14" s="22"/>
      <c r="O14" s="22"/>
      <c r="P14" s="22"/>
      <c r="Q14" s="22"/>
      <c r="R14" s="25"/>
      <c r="S14" s="25"/>
      <c r="T14" s="25"/>
      <c r="U14" s="25"/>
      <c r="V14" s="25"/>
      <c r="W14" s="22"/>
      <c r="X14" s="25"/>
      <c r="Y14" s="22">
        <f t="shared" si="5"/>
        <v>14865.48</v>
      </c>
      <c r="Z14" s="26">
        <v>1</v>
      </c>
      <c r="AA14" s="23">
        <f t="shared" si="14"/>
        <v>4313</v>
      </c>
      <c r="AB14" s="22">
        <f t="shared" si="6"/>
        <v>48909.440000000002</v>
      </c>
      <c r="AC14" s="22">
        <f t="shared" si="0"/>
        <v>167833.28</v>
      </c>
      <c r="AD14" s="22">
        <f t="shared" si="7"/>
        <v>146736.95199999999</v>
      </c>
      <c r="AE14" s="22">
        <f t="shared" si="8"/>
        <v>8804.2171199999993</v>
      </c>
      <c r="AF14" s="22">
        <f t="shared" si="9"/>
        <v>5135.7933199999998</v>
      </c>
      <c r="AG14" s="22">
        <f t="shared" si="1"/>
        <v>5034.9983999999995</v>
      </c>
      <c r="AH14" s="22">
        <f t="shared" si="10"/>
        <v>148654.79999999999</v>
      </c>
      <c r="AI14" s="24">
        <f t="shared" si="11"/>
        <v>2013.99936</v>
      </c>
      <c r="AJ14" s="24">
        <f t="shared" si="12"/>
        <v>105.65060543999999</v>
      </c>
      <c r="AK14" s="24">
        <f t="shared" si="12"/>
        <v>61.629519839999993</v>
      </c>
      <c r="AL14" s="24">
        <f t="shared" si="12"/>
        <v>60.41998079999999</v>
      </c>
      <c r="AM14" s="24">
        <f t="shared" si="2"/>
        <v>148.65479999999999</v>
      </c>
      <c r="AN14" s="24">
        <f t="shared" si="13"/>
        <v>2390.3542660799999</v>
      </c>
      <c r="AO14" s="24">
        <f>K14*30%</f>
        <v>35677.151999999995</v>
      </c>
      <c r="AP14" s="24">
        <f>AO14*0.25</f>
        <v>8919.2879999999986</v>
      </c>
      <c r="AQ14" s="24">
        <f>(AO14+AP14)*10%</f>
        <v>4459.6439999999993</v>
      </c>
      <c r="AR14" s="24">
        <f>AO14+AP14+AQ14</f>
        <v>49056.083999999995</v>
      </c>
      <c r="AS14" s="24">
        <f>AR14*10%</f>
        <v>4905.6084000000001</v>
      </c>
      <c r="AT14" s="24">
        <f>(AR14-AS14)*9.5%</f>
        <v>4194.2951819999998</v>
      </c>
      <c r="AU14" s="24">
        <f>(AR14-AS14)*3.5%</f>
        <v>1545.266646</v>
      </c>
      <c r="AV14" s="24">
        <f>AR14*3%</f>
        <v>1471.6825199999998</v>
      </c>
      <c r="AW14" s="24">
        <f>AO14+AP14</f>
        <v>44596.439999999995</v>
      </c>
      <c r="AX14" s="24">
        <f>AR14*4/1000</f>
        <v>196.22433599999999</v>
      </c>
      <c r="AY14" s="25"/>
      <c r="AZ14" s="24">
        <f>AT14*4/1000</f>
        <v>16.777180727999998</v>
      </c>
      <c r="BA14" s="24">
        <f>AU14*4/1000</f>
        <v>6.1810665839999999</v>
      </c>
      <c r="BB14" s="24">
        <f>AV14*4/1000</f>
        <v>5.8867300799999995</v>
      </c>
      <c r="BC14" s="24">
        <f>AW14/1000</f>
        <v>44.596439999999994</v>
      </c>
    </row>
    <row r="15" spans="2:58" ht="14" x14ac:dyDescent="0.3">
      <c r="B15" s="15">
        <v>6</v>
      </c>
      <c r="C15" s="27" t="s">
        <v>51</v>
      </c>
      <c r="D15" s="30" t="s">
        <v>52</v>
      </c>
      <c r="E15" s="18" t="s">
        <v>49</v>
      </c>
      <c r="F15" s="19" t="s">
        <v>252</v>
      </c>
      <c r="G15" s="18">
        <v>1.5</v>
      </c>
      <c r="H15" s="20" t="s">
        <v>53</v>
      </c>
      <c r="I15" s="21">
        <v>3.49</v>
      </c>
      <c r="J15" s="15">
        <v>17697</v>
      </c>
      <c r="K15" s="22">
        <f t="shared" si="3"/>
        <v>185287.59000000003</v>
      </c>
      <c r="L15" s="22">
        <f t="shared" si="4"/>
        <v>46321.897500000006</v>
      </c>
      <c r="M15" s="22"/>
      <c r="N15" s="22"/>
      <c r="O15" s="22"/>
      <c r="P15" s="22"/>
      <c r="Q15" s="22"/>
      <c r="R15" s="31"/>
      <c r="S15" s="22"/>
      <c r="T15" s="22"/>
      <c r="U15" s="22"/>
      <c r="V15" s="22"/>
      <c r="W15" s="22"/>
      <c r="X15" s="22"/>
      <c r="Y15" s="22">
        <f t="shared" si="5"/>
        <v>23160.948750000007</v>
      </c>
      <c r="Z15" s="31">
        <v>1</v>
      </c>
      <c r="AA15" s="23">
        <f t="shared" si="14"/>
        <v>4313</v>
      </c>
      <c r="AB15" s="22">
        <f t="shared" si="6"/>
        <v>73795.846250000017</v>
      </c>
      <c r="AC15" s="22">
        <f t="shared" si="0"/>
        <v>259083.43625000003</v>
      </c>
      <c r="AD15" s="22">
        <f t="shared" si="7"/>
        <v>228862.09262500002</v>
      </c>
      <c r="AE15" s="22">
        <f t="shared" si="8"/>
        <v>13731.7255575</v>
      </c>
      <c r="AF15" s="22">
        <f t="shared" si="9"/>
        <v>8010.1732418750016</v>
      </c>
      <c r="AG15" s="22">
        <f t="shared" si="1"/>
        <v>7772.5030875000002</v>
      </c>
      <c r="AH15" s="22">
        <f t="shared" si="10"/>
        <v>231609.48750000005</v>
      </c>
      <c r="AI15" s="24">
        <f t="shared" si="11"/>
        <v>3109.0012350000006</v>
      </c>
      <c r="AJ15" s="24">
        <f t="shared" si="12"/>
        <v>164.78070669000002</v>
      </c>
      <c r="AK15" s="24">
        <f t="shared" si="12"/>
        <v>96.122078902500022</v>
      </c>
      <c r="AL15" s="24">
        <f t="shared" si="12"/>
        <v>93.270037050000013</v>
      </c>
      <c r="AM15" s="24">
        <f t="shared" si="2"/>
        <v>231.60948750000006</v>
      </c>
      <c r="AN15" s="24">
        <f t="shared" si="13"/>
        <v>3694.7835451425008</v>
      </c>
      <c r="AO15" s="24">
        <f>K14*30%</f>
        <v>35677.151999999995</v>
      </c>
      <c r="AP15" s="24">
        <f>AO15*0.25</f>
        <v>8919.2879999999986</v>
      </c>
      <c r="AQ15" s="24">
        <f>(AO15+AP15)*10%</f>
        <v>4459.6439999999993</v>
      </c>
      <c r="AR15" s="24">
        <f>AO15+AP15+AQ15</f>
        <v>49056.083999999995</v>
      </c>
      <c r="AS15" s="24">
        <f>AR15*10%</f>
        <v>4905.6084000000001</v>
      </c>
      <c r="AT15" s="24">
        <f>(AR15-AS15)*9.5%</f>
        <v>4194.2951819999998</v>
      </c>
      <c r="AU15" s="24">
        <f>(AR15-AS15)*3.5%</f>
        <v>1545.266646</v>
      </c>
      <c r="AV15" s="24">
        <f>AR15*3%</f>
        <v>1471.6825199999998</v>
      </c>
      <c r="AW15" s="24">
        <f>AO15+AP15</f>
        <v>44596.439999999995</v>
      </c>
      <c r="AX15" s="24">
        <f>AR15*4/1000</f>
        <v>196.22433599999999</v>
      </c>
      <c r="AY15" s="25"/>
      <c r="AZ15" s="24">
        <f>AT15*4/1000</f>
        <v>16.777180727999998</v>
      </c>
      <c r="BA15" s="24">
        <f>AT15*4/1000</f>
        <v>16.777180727999998</v>
      </c>
      <c r="BB15" s="24">
        <f>AV15*4/1000</f>
        <v>5.8867300799999995</v>
      </c>
      <c r="BC15" s="24">
        <f>AW15/1000</f>
        <v>44.596439999999994</v>
      </c>
    </row>
    <row r="16" spans="2:58" ht="23" x14ac:dyDescent="0.3">
      <c r="B16" s="15">
        <v>7</v>
      </c>
      <c r="C16" s="32" t="s">
        <v>54</v>
      </c>
      <c r="D16" s="33" t="s">
        <v>55</v>
      </c>
      <c r="E16" s="18" t="s">
        <v>49</v>
      </c>
      <c r="F16" s="19" t="s">
        <v>249</v>
      </c>
      <c r="G16" s="18">
        <v>1</v>
      </c>
      <c r="H16" s="20" t="s">
        <v>56</v>
      </c>
      <c r="I16" s="18">
        <v>3.53</v>
      </c>
      <c r="J16" s="15">
        <v>17697</v>
      </c>
      <c r="K16" s="22">
        <f t="shared" si="3"/>
        <v>124940.81999999999</v>
      </c>
      <c r="L16" s="22">
        <f t="shared" si="4"/>
        <v>31235.204999999998</v>
      </c>
      <c r="M16" s="25"/>
      <c r="N16" s="22"/>
      <c r="O16" s="22"/>
      <c r="P16" s="22"/>
      <c r="Q16" s="22"/>
      <c r="R16" s="25"/>
      <c r="S16" s="25"/>
      <c r="T16" s="25"/>
      <c r="U16" s="25"/>
      <c r="V16" s="25"/>
      <c r="W16" s="25"/>
      <c r="X16" s="25"/>
      <c r="Y16" s="22">
        <f t="shared" si="5"/>
        <v>15617.602500000001</v>
      </c>
      <c r="Z16" s="26">
        <v>1</v>
      </c>
      <c r="AA16" s="23">
        <f t="shared" si="14"/>
        <v>4313</v>
      </c>
      <c r="AB16" s="22">
        <f t="shared" si="6"/>
        <v>51165.807499999995</v>
      </c>
      <c r="AC16" s="22">
        <f t="shared" si="0"/>
        <v>176106.6275</v>
      </c>
      <c r="AD16" s="22">
        <f t="shared" si="7"/>
        <v>154182.96475000001</v>
      </c>
      <c r="AE16" s="22">
        <f t="shared" si="8"/>
        <v>9250.9778850000002</v>
      </c>
      <c r="AF16" s="22">
        <f t="shared" si="9"/>
        <v>5396.4037662500014</v>
      </c>
      <c r="AG16" s="22">
        <f t="shared" si="1"/>
        <v>5283.1988249999995</v>
      </c>
      <c r="AH16" s="22">
        <f t="shared" si="10"/>
        <v>156176.02499999999</v>
      </c>
      <c r="AI16" s="24">
        <f t="shared" si="11"/>
        <v>2113.2795299999998</v>
      </c>
      <c r="AJ16" s="24">
        <f t="shared" si="12"/>
        <v>111.01173462000001</v>
      </c>
      <c r="AK16" s="24">
        <f t="shared" si="12"/>
        <v>64.756845195000011</v>
      </c>
      <c r="AL16" s="24">
        <f t="shared" si="12"/>
        <v>63.398385899999994</v>
      </c>
      <c r="AM16" s="24">
        <f t="shared" si="2"/>
        <v>156.17602499999998</v>
      </c>
      <c r="AN16" s="24">
        <f t="shared" si="13"/>
        <v>2508.6225207149996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spans="1:55" x14ac:dyDescent="0.3">
      <c r="B17" s="15">
        <v>8</v>
      </c>
      <c r="C17" s="32" t="s">
        <v>161</v>
      </c>
      <c r="D17" s="30" t="s">
        <v>57</v>
      </c>
      <c r="E17" s="18" t="s">
        <v>37</v>
      </c>
      <c r="F17" s="19" t="s">
        <v>250</v>
      </c>
      <c r="G17" s="18">
        <v>0.5</v>
      </c>
      <c r="H17" s="20" t="s">
        <v>56</v>
      </c>
      <c r="I17" s="34">
        <v>3.73</v>
      </c>
      <c r="J17" s="15">
        <v>17697</v>
      </c>
      <c r="K17" s="22">
        <f>G17*J17*I17*2</f>
        <v>66009.81</v>
      </c>
      <c r="L17" s="22">
        <f t="shared" si="4"/>
        <v>16502.452499999999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5"/>
        <v>8251.2262499999997</v>
      </c>
      <c r="Z17" s="23"/>
      <c r="AA17" s="23">
        <f t="shared" si="14"/>
        <v>0</v>
      </c>
      <c r="AB17" s="22">
        <f t="shared" si="6"/>
        <v>24753.678749999999</v>
      </c>
      <c r="AC17" s="22">
        <f t="shared" si="0"/>
        <v>90763.48874999999</v>
      </c>
      <c r="AD17" s="22">
        <f t="shared" si="7"/>
        <v>81687.139874999993</v>
      </c>
      <c r="AE17" s="22">
        <f t="shared" si="8"/>
        <v>4901.2283924999992</v>
      </c>
      <c r="AF17" s="22">
        <f t="shared" si="9"/>
        <v>2859.0498956249999</v>
      </c>
      <c r="AG17" s="22">
        <f t="shared" si="1"/>
        <v>2722.9046624999996</v>
      </c>
      <c r="AH17" s="22">
        <f t="shared" si="10"/>
        <v>82512.262499999997</v>
      </c>
      <c r="AI17" s="24">
        <f t="shared" si="11"/>
        <v>1089.161865</v>
      </c>
      <c r="AJ17" s="24">
        <f t="shared" si="12"/>
        <v>58.814740709999995</v>
      </c>
      <c r="AK17" s="24">
        <f t="shared" si="12"/>
        <v>34.3085987475</v>
      </c>
      <c r="AL17" s="24">
        <f t="shared" si="12"/>
        <v>32.674855949999994</v>
      </c>
      <c r="AM17" s="24">
        <f t="shared" si="2"/>
        <v>82.512262499999991</v>
      </c>
      <c r="AN17" s="24">
        <f t="shared" si="13"/>
        <v>1297.4723229075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1:55" x14ac:dyDescent="0.3">
      <c r="B18" s="15">
        <v>9</v>
      </c>
      <c r="C18" s="18" t="s">
        <v>184</v>
      </c>
      <c r="D18" s="30" t="s">
        <v>283</v>
      </c>
      <c r="E18" s="18" t="s">
        <v>37</v>
      </c>
      <c r="F18" s="19">
        <v>16.399999999999999</v>
      </c>
      <c r="G18" s="18">
        <v>0.5</v>
      </c>
      <c r="H18" s="20" t="s">
        <v>284</v>
      </c>
      <c r="I18" s="34">
        <v>4.0599999999999996</v>
      </c>
      <c r="J18" s="15">
        <v>17698</v>
      </c>
      <c r="K18" s="22">
        <f>G18*J18*I18*2</f>
        <v>71853.87999999999</v>
      </c>
      <c r="L18" s="22">
        <f t="shared" ref="L18" si="15">K18*25%</f>
        <v>17963.469999999998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>
        <f t="shared" ref="Y18" si="16">(L18+K18)*10%</f>
        <v>8981.7349999999988</v>
      </c>
      <c r="Z18" s="23"/>
      <c r="AA18" s="23">
        <f t="shared" ref="AA18" si="17">4313*Z18</f>
        <v>0</v>
      </c>
      <c r="AB18" s="22">
        <f t="shared" ref="AB18" si="18">AA18+Y18+X18+W18+S18+R18+Q18+P18+O18+N18+L18+V18+U18+M18+T18</f>
        <v>26945.204999999994</v>
      </c>
      <c r="AC18" s="22">
        <f t="shared" ref="AC18" si="19">AB18+K18</f>
        <v>98799.084999999992</v>
      </c>
      <c r="AD18" s="22">
        <f t="shared" ref="AD18" si="20">AC18-AC18*10%-AA18</f>
        <v>88919.176499999987</v>
      </c>
      <c r="AE18" s="22">
        <f t="shared" ref="AE18" si="21">AD18*6%</f>
        <v>5335.1505899999993</v>
      </c>
      <c r="AF18" s="22">
        <f t="shared" ref="AF18" si="22">AD18*3.5%</f>
        <v>3112.1711774999999</v>
      </c>
      <c r="AG18" s="22">
        <f t="shared" ref="AG18" si="23">AC18*3%</f>
        <v>2963.9725499999995</v>
      </c>
      <c r="AH18" s="22">
        <f t="shared" ref="AH18" si="24">K18+L18</f>
        <v>89817.349999999991</v>
      </c>
      <c r="AI18" s="24">
        <f t="shared" ref="AI18" si="25">(AC18/1000)*12</f>
        <v>1185.5890199999999</v>
      </c>
      <c r="AJ18" s="24">
        <f t="shared" ref="AJ18" si="26">(AE18/1000)*12</f>
        <v>64.021807080000002</v>
      </c>
      <c r="AK18" s="24">
        <f t="shared" ref="AK18" si="27">(AF18/1000)*12</f>
        <v>37.346054129999999</v>
      </c>
      <c r="AL18" s="24">
        <f t="shared" ref="AL18" si="28">(AG18/1000)*12</f>
        <v>35.567670599999992</v>
      </c>
      <c r="AM18" s="24">
        <f t="shared" ref="AM18" si="29">AH18/1000</f>
        <v>89.81734999999999</v>
      </c>
      <c r="AN18" s="24">
        <f t="shared" ref="AN18" si="30">AM18+AL18+AK18+AJ18+AI18</f>
        <v>1412.3419018099999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</row>
    <row r="19" spans="1:55" x14ac:dyDescent="0.3">
      <c r="B19" s="15">
        <v>10</v>
      </c>
      <c r="C19" s="18" t="s">
        <v>58</v>
      </c>
      <c r="D19" s="30" t="s">
        <v>231</v>
      </c>
      <c r="E19" s="18" t="s">
        <v>49</v>
      </c>
      <c r="F19" s="19" t="s">
        <v>251</v>
      </c>
      <c r="G19" s="18">
        <v>1</v>
      </c>
      <c r="H19" s="20" t="s">
        <v>59</v>
      </c>
      <c r="I19" s="34">
        <v>4.4000000000000004</v>
      </c>
      <c r="J19" s="15">
        <v>17697</v>
      </c>
      <c r="K19" s="22">
        <f t="shared" si="3"/>
        <v>155733.6</v>
      </c>
      <c r="L19" s="22">
        <f t="shared" si="4"/>
        <v>38933.4</v>
      </c>
      <c r="M19" s="25"/>
      <c r="N19" s="22"/>
      <c r="O19" s="22"/>
      <c r="P19" s="22"/>
      <c r="Q19" s="22"/>
      <c r="R19" s="25"/>
      <c r="S19" s="25"/>
      <c r="T19" s="25"/>
      <c r="U19" s="24"/>
      <c r="V19" s="25"/>
      <c r="W19" s="25"/>
      <c r="X19" s="25"/>
      <c r="Y19" s="22">
        <f t="shared" si="5"/>
        <v>19466.7</v>
      </c>
      <c r="Z19" s="26">
        <v>1</v>
      </c>
      <c r="AA19" s="23">
        <f t="shared" si="14"/>
        <v>4313</v>
      </c>
      <c r="AB19" s="22">
        <f t="shared" si="6"/>
        <v>62713.100000000006</v>
      </c>
      <c r="AC19" s="22">
        <f t="shared" si="0"/>
        <v>218446.7</v>
      </c>
      <c r="AD19" s="22">
        <f t="shared" si="7"/>
        <v>192289.03</v>
      </c>
      <c r="AE19" s="22">
        <f t="shared" si="8"/>
        <v>11537.3418</v>
      </c>
      <c r="AF19" s="22">
        <f t="shared" si="9"/>
        <v>6730.1160500000005</v>
      </c>
      <c r="AG19" s="22">
        <f t="shared" si="1"/>
        <v>6553.4009999999998</v>
      </c>
      <c r="AH19" s="22">
        <f t="shared" si="10"/>
        <v>194667</v>
      </c>
      <c r="AI19" s="24">
        <f t="shared" si="11"/>
        <v>2621.3604000000005</v>
      </c>
      <c r="AJ19" s="24">
        <f t="shared" si="12"/>
        <v>138.4481016</v>
      </c>
      <c r="AK19" s="24">
        <f t="shared" si="12"/>
        <v>80.761392600000008</v>
      </c>
      <c r="AL19" s="24">
        <f t="shared" si="12"/>
        <v>78.640811999999997</v>
      </c>
      <c r="AM19" s="24">
        <f t="shared" si="2"/>
        <v>194.667</v>
      </c>
      <c r="AN19" s="24">
        <f t="shared" si="13"/>
        <v>3113.8777062000004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</row>
    <row r="20" spans="1:55" x14ac:dyDescent="0.3">
      <c r="B20" s="15">
        <v>11</v>
      </c>
      <c r="C20" s="18" t="s">
        <v>209</v>
      </c>
      <c r="D20" s="30" t="s">
        <v>60</v>
      </c>
      <c r="E20" s="18" t="s">
        <v>49</v>
      </c>
      <c r="F20" s="19">
        <v>0</v>
      </c>
      <c r="G20" s="18">
        <v>0.5</v>
      </c>
      <c r="H20" s="20" t="s">
        <v>62</v>
      </c>
      <c r="I20" s="18">
        <v>3.32</v>
      </c>
      <c r="J20" s="15">
        <v>17697</v>
      </c>
      <c r="K20" s="22">
        <f>G20*J20*I20*2</f>
        <v>58754.039999999994</v>
      </c>
      <c r="L20" s="22">
        <f>K20*25%</f>
        <v>14688.509999999998</v>
      </c>
      <c r="M20" s="2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>
        <f>(L20+K20)*10%</f>
        <v>7344.2549999999992</v>
      </c>
      <c r="Z20" s="23">
        <v>1</v>
      </c>
      <c r="AA20" s="23">
        <f t="shared" si="14"/>
        <v>4313</v>
      </c>
      <c r="AB20" s="22">
        <f>AA20+Y20+X20+W20+S20+R20+Q20+P20+O20+N20+L20+V20+U20+M20+T20</f>
        <v>26345.764999999999</v>
      </c>
      <c r="AC20" s="22">
        <f>AB20+K20</f>
        <v>85099.804999999993</v>
      </c>
      <c r="AD20" s="22">
        <f>AC20-AC20*10%-AA20</f>
        <v>72276.824499999988</v>
      </c>
      <c r="AE20" s="22">
        <f>AD20*6%</f>
        <v>4336.6094699999994</v>
      </c>
      <c r="AF20" s="22">
        <f>AD20*3.5%</f>
        <v>2529.6888574999998</v>
      </c>
      <c r="AG20" s="22">
        <f>AC20*3%</f>
        <v>2552.9941499999995</v>
      </c>
      <c r="AH20" s="22">
        <f>K20+L20</f>
        <v>73442.549999999988</v>
      </c>
      <c r="AI20" s="24">
        <f t="shared" si="11"/>
        <v>1021.1976599999998</v>
      </c>
      <c r="AJ20" s="24">
        <f t="shared" si="12"/>
        <v>52.039313639999989</v>
      </c>
      <c r="AK20" s="24">
        <f t="shared" si="12"/>
        <v>30.356266289999994</v>
      </c>
      <c r="AL20" s="24">
        <f t="shared" si="12"/>
        <v>30.635929799999992</v>
      </c>
      <c r="AM20" s="24">
        <f>AH20/1000</f>
        <v>73.442549999999983</v>
      </c>
      <c r="AN20" s="24">
        <f>AM20+AL20+AK20+AJ20+AI20</f>
        <v>1207.6717197299997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</row>
    <row r="21" spans="1:55" x14ac:dyDescent="0.3">
      <c r="B21" s="15">
        <v>12</v>
      </c>
      <c r="C21" s="18" t="s">
        <v>63</v>
      </c>
      <c r="D21" s="30" t="s">
        <v>64</v>
      </c>
      <c r="E21" s="18" t="s">
        <v>49</v>
      </c>
      <c r="F21" s="19" t="s">
        <v>61</v>
      </c>
      <c r="G21" s="18">
        <v>0.5</v>
      </c>
      <c r="H21" s="18" t="s">
        <v>179</v>
      </c>
      <c r="I21" s="18">
        <v>3.36</v>
      </c>
      <c r="J21" s="15">
        <v>17697</v>
      </c>
      <c r="K21" s="22">
        <f t="shared" ref="K21:K44" si="31">G21*J21*I21*1.45</f>
        <v>43109.892</v>
      </c>
      <c r="L21" s="22">
        <f>K21*25%</f>
        <v>10777.473</v>
      </c>
      <c r="M21" s="25"/>
      <c r="N21" s="22"/>
      <c r="O21" s="22"/>
      <c r="P21" s="22"/>
      <c r="Q21" s="22"/>
      <c r="R21" s="25"/>
      <c r="S21" s="25"/>
      <c r="T21" s="25"/>
      <c r="U21" s="25"/>
      <c r="V21" s="25"/>
      <c r="W21" s="25"/>
      <c r="X21" s="25"/>
      <c r="Y21" s="22">
        <f>(L21+K21)*10%</f>
        <v>5388.7365</v>
      </c>
      <c r="Z21" s="26"/>
      <c r="AA21" s="23">
        <f>3975*Z21</f>
        <v>0</v>
      </c>
      <c r="AB21" s="22">
        <f>AA21+Y21+X21+W21+S21+R21+Q21+P21+O21+N21+L21+V21+U21+M21+T21</f>
        <v>16166.209500000001</v>
      </c>
      <c r="AC21" s="22">
        <f>AB21+K21</f>
        <v>59276.101500000004</v>
      </c>
      <c r="AD21" s="22">
        <f>AC21-AC21*10%-AA21</f>
        <v>53348.491350000004</v>
      </c>
      <c r="AE21" s="22">
        <f>AD21*6%</f>
        <v>3200.9094810000001</v>
      </c>
      <c r="AF21" s="22">
        <f>AD21*3.5%</f>
        <v>1867.1971972500003</v>
      </c>
      <c r="AG21" s="22">
        <f>AC21*3%</f>
        <v>1778.2830450000001</v>
      </c>
      <c r="AH21" s="22">
        <f>K21+L21</f>
        <v>53887.364999999998</v>
      </c>
      <c r="AI21" s="24">
        <f t="shared" si="11"/>
        <v>711.31321800000001</v>
      </c>
      <c r="AJ21" s="24">
        <f>(AE21/1000)*12</f>
        <v>38.410913772000001</v>
      </c>
      <c r="AK21" s="24">
        <f>(AF21/1000)*12</f>
        <v>22.406366367000004</v>
      </c>
      <c r="AL21" s="24">
        <f>(AG21/1000)*12</f>
        <v>21.339396540000003</v>
      </c>
      <c r="AM21" s="24">
        <f>AH21/1000</f>
        <v>53.887364999999996</v>
      </c>
      <c r="AN21" s="24">
        <f>AM21+AL21+AK21+AJ21+AI21</f>
        <v>847.35725967899998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</row>
    <row r="22" spans="1:55" x14ac:dyDescent="0.3">
      <c r="B22" s="15">
        <v>13</v>
      </c>
      <c r="C22" s="18" t="s">
        <v>184</v>
      </c>
      <c r="D22" s="30" t="s">
        <v>66</v>
      </c>
      <c r="E22" s="18" t="s">
        <v>37</v>
      </c>
      <c r="F22" s="19" t="s">
        <v>220</v>
      </c>
      <c r="G22" s="18">
        <v>0.5</v>
      </c>
      <c r="H22" s="18" t="s">
        <v>253</v>
      </c>
      <c r="I22" s="18">
        <v>4.6100000000000003</v>
      </c>
      <c r="J22" s="15">
        <v>17697</v>
      </c>
      <c r="K22" s="22">
        <f t="shared" si="31"/>
        <v>59147.798250000007</v>
      </c>
      <c r="L22" s="22">
        <f>K22*25%</f>
        <v>14786.949562500002</v>
      </c>
      <c r="M22" s="22"/>
      <c r="N22" s="22">
        <f>5309*0.5</f>
        <v>2654.5</v>
      </c>
      <c r="O22" s="22"/>
      <c r="P22" s="22"/>
      <c r="Q22" s="22"/>
      <c r="R22" s="22"/>
      <c r="S22" s="22"/>
      <c r="T22" s="22"/>
      <c r="U22" s="22"/>
      <c r="V22" s="22"/>
      <c r="W22" s="25"/>
      <c r="X22" s="22"/>
      <c r="Y22" s="22">
        <f>(L22+K22)*10%</f>
        <v>7393.4747812500009</v>
      </c>
      <c r="Z22" s="23"/>
      <c r="AA22" s="23">
        <f>3975*Z22</f>
        <v>0</v>
      </c>
      <c r="AB22" s="22">
        <f>AA22+Y22+X22+W22+S22+R22+Q22+P22+O22+N22+L22+V22+U22+M22+T22</f>
        <v>24834.924343750004</v>
      </c>
      <c r="AC22" s="22">
        <f>AB22+K22</f>
        <v>83982.722593750019</v>
      </c>
      <c r="AD22" s="22">
        <f>AC22-AC22*10%-AA22</f>
        <v>75584.450334375011</v>
      </c>
      <c r="AE22" s="22">
        <f>AD22*6%</f>
        <v>4535.0670200625009</v>
      </c>
      <c r="AF22" s="22">
        <f>AD22*3.5%</f>
        <v>2645.4557617031255</v>
      </c>
      <c r="AG22" s="22">
        <f>AC22*3%</f>
        <v>2519.4816778125005</v>
      </c>
      <c r="AH22" s="22">
        <f>K22+L22</f>
        <v>73934.747812500005</v>
      </c>
      <c r="AI22" s="24">
        <f t="shared" si="11"/>
        <v>1007.7926711250003</v>
      </c>
      <c r="AJ22" s="24">
        <f t="shared" si="12"/>
        <v>54.420804240750009</v>
      </c>
      <c r="AK22" s="24">
        <f t="shared" si="12"/>
        <v>31.745469140437507</v>
      </c>
      <c r="AL22" s="24">
        <f t="shared" si="12"/>
        <v>30.23378013375001</v>
      </c>
      <c r="AM22" s="24">
        <f>AH22/1000</f>
        <v>73.934747812500007</v>
      </c>
      <c r="AN22" s="24">
        <f>AM22+AL22+AK22+AJ22+AI22</f>
        <v>1198.1274724524378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</row>
    <row r="23" spans="1:55" x14ac:dyDescent="0.3">
      <c r="B23" s="15">
        <v>14</v>
      </c>
      <c r="C23" s="18" t="s">
        <v>67</v>
      </c>
      <c r="D23" s="30" t="s">
        <v>68</v>
      </c>
      <c r="E23" s="18" t="s">
        <v>49</v>
      </c>
      <c r="F23" s="19" t="s">
        <v>221</v>
      </c>
      <c r="G23" s="18">
        <v>1</v>
      </c>
      <c r="H23" s="18" t="s">
        <v>65</v>
      </c>
      <c r="I23" s="18">
        <v>3.68</v>
      </c>
      <c r="J23" s="15">
        <v>17697</v>
      </c>
      <c r="K23" s="22">
        <f t="shared" si="31"/>
        <v>94431.19200000001</v>
      </c>
      <c r="L23" s="22">
        <f t="shared" ref="L23" si="32">K23*25%</f>
        <v>23607.798000000003</v>
      </c>
      <c r="M23" s="25"/>
      <c r="N23" s="22"/>
      <c r="O23" s="22"/>
      <c r="P23" s="22"/>
      <c r="Q23" s="22"/>
      <c r="R23" s="25"/>
      <c r="S23" s="25"/>
      <c r="T23" s="25"/>
      <c r="U23" s="25"/>
      <c r="V23" s="25"/>
      <c r="W23" s="22"/>
      <c r="X23" s="25"/>
      <c r="Y23" s="22">
        <f>(L23+K23)*10%</f>
        <v>11803.899000000003</v>
      </c>
      <c r="Z23" s="26">
        <v>1</v>
      </c>
      <c r="AA23" s="23">
        <f>4313*Z23</f>
        <v>4313</v>
      </c>
      <c r="AB23" s="22">
        <f>AA23+Y23+X23+W23+S23+R23+Q23+P23+O23+N23+L23+V23+U23+M23+T23</f>
        <v>39724.697000000007</v>
      </c>
      <c r="AC23" s="22">
        <f>AB23+K23</f>
        <v>134155.88900000002</v>
      </c>
      <c r="AD23" s="22">
        <f>AC23-AC23*10%-AA23</f>
        <v>116427.30010000002</v>
      </c>
      <c r="AE23" s="22">
        <f>AD23*6%</f>
        <v>6985.638006000001</v>
      </c>
      <c r="AF23" s="22">
        <f>AD23*3.5%</f>
        <v>4074.9555035000012</v>
      </c>
      <c r="AG23" s="22">
        <f>AC23*3%</f>
        <v>4024.6766700000007</v>
      </c>
      <c r="AH23" s="22">
        <f>K23+L23</f>
        <v>118038.99000000002</v>
      </c>
      <c r="AI23" s="24">
        <f t="shared" si="11"/>
        <v>1609.8706680000005</v>
      </c>
      <c r="AJ23" s="24">
        <f t="shared" si="12"/>
        <v>83.827656072000011</v>
      </c>
      <c r="AK23" s="24">
        <f t="shared" si="12"/>
        <v>48.899466042000014</v>
      </c>
      <c r="AL23" s="24">
        <f t="shared" si="12"/>
        <v>48.296120040000005</v>
      </c>
      <c r="AM23" s="24">
        <f>AH23/1000</f>
        <v>118.03899000000003</v>
      </c>
      <c r="AN23" s="24">
        <f>AM23+AL23+AK23+AJ23+AI23</f>
        <v>1908.9329001540004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</row>
    <row r="24" spans="1:55" x14ac:dyDescent="0.3">
      <c r="B24" s="15">
        <v>15</v>
      </c>
      <c r="C24" s="18" t="s">
        <v>115</v>
      </c>
      <c r="D24" s="29" t="s">
        <v>69</v>
      </c>
      <c r="E24" s="18" t="s">
        <v>49</v>
      </c>
      <c r="F24" s="19" t="s">
        <v>222</v>
      </c>
      <c r="G24" s="18">
        <v>1</v>
      </c>
      <c r="H24" s="18" t="s">
        <v>65</v>
      </c>
      <c r="I24" s="34">
        <v>3.68</v>
      </c>
      <c r="J24" s="15">
        <v>17697</v>
      </c>
      <c r="K24" s="22">
        <f t="shared" si="31"/>
        <v>94431.19200000001</v>
      </c>
      <c r="L24" s="22"/>
      <c r="M24" s="25"/>
      <c r="N24" s="22"/>
      <c r="O24" s="22"/>
      <c r="P24" s="22"/>
      <c r="Q24" s="22"/>
      <c r="R24" s="25"/>
      <c r="S24" s="25"/>
      <c r="T24" s="25"/>
      <c r="U24" s="25"/>
      <c r="V24" s="25"/>
      <c r="W24" s="25"/>
      <c r="X24" s="25"/>
      <c r="Y24" s="22">
        <f>(L24+K24)*10%</f>
        <v>9443.119200000001</v>
      </c>
      <c r="Z24" s="26">
        <v>1</v>
      </c>
      <c r="AA24" s="23">
        <f t="shared" ref="AA24:AA26" si="33">4313*Z24</f>
        <v>4313</v>
      </c>
      <c r="AB24" s="22">
        <f>AA24+Y24+X24+W24+S24+R24+Q24+P24+O24+N24+L24+V24+U24+M24+T24</f>
        <v>13756.119200000001</v>
      </c>
      <c r="AC24" s="22">
        <f>AB24+K24</f>
        <v>108187.31120000001</v>
      </c>
      <c r="AD24" s="22">
        <f>AC24-AC24*10%-AA24</f>
        <v>93055.580080000014</v>
      </c>
      <c r="AE24" s="22">
        <f>AD24*6%</f>
        <v>5583.3348048000007</v>
      </c>
      <c r="AF24" s="22">
        <f>AD24*3.5%</f>
        <v>3256.9453028000007</v>
      </c>
      <c r="AG24" s="22">
        <f>AC24*3%</f>
        <v>3245.6193360000002</v>
      </c>
      <c r="AH24" s="22">
        <f>K24+L24</f>
        <v>94431.19200000001</v>
      </c>
      <c r="AI24" s="24">
        <f t="shared" si="11"/>
        <v>1298.2477344000001</v>
      </c>
      <c r="AJ24" s="24">
        <f t="shared" si="12"/>
        <v>67.000017657600011</v>
      </c>
      <c r="AK24" s="24">
        <f t="shared" si="12"/>
        <v>39.083343633600009</v>
      </c>
      <c r="AL24" s="24">
        <f t="shared" si="12"/>
        <v>38.947432032000002</v>
      </c>
      <c r="AM24" s="24">
        <f>AH24/1000</f>
        <v>94.43119200000001</v>
      </c>
      <c r="AN24" s="24">
        <f>AM24+AL24+AK24+AJ24+AI24</f>
        <v>1537.7097197232001</v>
      </c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1:55" x14ac:dyDescent="0.3">
      <c r="A25" s="35"/>
      <c r="B25" s="15">
        <v>16</v>
      </c>
      <c r="C25" s="32" t="s">
        <v>70</v>
      </c>
      <c r="D25" s="30" t="s">
        <v>71</v>
      </c>
      <c r="E25" s="18" t="s">
        <v>72</v>
      </c>
      <c r="F25" s="19" t="s">
        <v>73</v>
      </c>
      <c r="G25" s="18">
        <v>1</v>
      </c>
      <c r="H25" s="18" t="s">
        <v>65</v>
      </c>
      <c r="I25" s="18">
        <v>3.61</v>
      </c>
      <c r="J25" s="15">
        <v>17697</v>
      </c>
      <c r="K25" s="22">
        <f t="shared" si="31"/>
        <v>92634.946499999991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>
        <f t="shared" si="5"/>
        <v>9263.4946499999987</v>
      </c>
      <c r="Z25" s="23">
        <v>1</v>
      </c>
      <c r="AA25" s="23">
        <f t="shared" si="33"/>
        <v>4313</v>
      </c>
      <c r="AB25" s="22">
        <f t="shared" si="6"/>
        <v>13576.494649999999</v>
      </c>
      <c r="AC25" s="22">
        <f t="shared" si="0"/>
        <v>106211.44114999998</v>
      </c>
      <c r="AD25" s="22">
        <f t="shared" si="7"/>
        <v>91277.297034999981</v>
      </c>
      <c r="AE25" s="22">
        <f t="shared" si="8"/>
        <v>5476.6378220999986</v>
      </c>
      <c r="AF25" s="22">
        <f t="shared" si="9"/>
        <v>3194.7053962249997</v>
      </c>
      <c r="AG25" s="22">
        <f t="shared" si="1"/>
        <v>3186.3432344999992</v>
      </c>
      <c r="AH25" s="22">
        <f t="shared" si="10"/>
        <v>92634.946499999991</v>
      </c>
      <c r="AI25" s="24">
        <f t="shared" si="11"/>
        <v>1274.5372937999998</v>
      </c>
      <c r="AJ25" s="24">
        <f t="shared" si="12"/>
        <v>65.719653865199987</v>
      </c>
      <c r="AK25" s="24">
        <f t="shared" si="12"/>
        <v>38.336464754699996</v>
      </c>
      <c r="AL25" s="24">
        <f t="shared" si="12"/>
        <v>38.236118813999994</v>
      </c>
      <c r="AM25" s="24">
        <f t="shared" si="2"/>
        <v>92.634946499999984</v>
      </c>
      <c r="AN25" s="24">
        <f t="shared" si="13"/>
        <v>1509.4644777338997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55" x14ac:dyDescent="0.3">
      <c r="B26" s="15">
        <v>17</v>
      </c>
      <c r="C26" s="18" t="s">
        <v>74</v>
      </c>
      <c r="D26" s="30" t="s">
        <v>64</v>
      </c>
      <c r="E26" s="18" t="s">
        <v>72</v>
      </c>
      <c r="F26" s="19">
        <v>1</v>
      </c>
      <c r="G26" s="18">
        <v>1</v>
      </c>
      <c r="H26" s="18" t="s">
        <v>230</v>
      </c>
      <c r="I26" s="18">
        <v>2.94</v>
      </c>
      <c r="J26" s="15">
        <v>17697</v>
      </c>
      <c r="K26" s="22">
        <f t="shared" si="31"/>
        <v>75442.311000000002</v>
      </c>
      <c r="L26" s="22"/>
      <c r="M26" s="25"/>
      <c r="N26" s="22"/>
      <c r="O26" s="22"/>
      <c r="P26" s="22"/>
      <c r="Q26" s="22"/>
      <c r="R26" s="25"/>
      <c r="S26" s="25"/>
      <c r="T26" s="25"/>
      <c r="U26" s="25"/>
      <c r="V26" s="25"/>
      <c r="W26" s="25"/>
      <c r="X26" s="25"/>
      <c r="Y26" s="22">
        <f t="shared" si="5"/>
        <v>7544.2311000000009</v>
      </c>
      <c r="Z26" s="26">
        <v>1</v>
      </c>
      <c r="AA26" s="23">
        <f t="shared" si="33"/>
        <v>4313</v>
      </c>
      <c r="AB26" s="22">
        <f t="shared" si="6"/>
        <v>11857.231100000001</v>
      </c>
      <c r="AC26" s="22">
        <f t="shared" si="0"/>
        <v>87299.542100000006</v>
      </c>
      <c r="AD26" s="22">
        <f t="shared" si="7"/>
        <v>74256.58789000001</v>
      </c>
      <c r="AE26" s="22">
        <f t="shared" si="8"/>
        <v>4455.3952734000004</v>
      </c>
      <c r="AF26" s="22">
        <f t="shared" si="9"/>
        <v>2598.9805761500006</v>
      </c>
      <c r="AG26" s="22">
        <f t="shared" si="1"/>
        <v>2618.9862630000002</v>
      </c>
      <c r="AH26" s="22">
        <f t="shared" si="10"/>
        <v>75442.311000000002</v>
      </c>
      <c r="AI26" s="24">
        <f t="shared" si="11"/>
        <v>1047.5945052000002</v>
      </c>
      <c r="AJ26" s="24">
        <f t="shared" si="12"/>
        <v>53.464743280800008</v>
      </c>
      <c r="AK26" s="24">
        <f t="shared" si="12"/>
        <v>31.187766913800008</v>
      </c>
      <c r="AL26" s="24">
        <f t="shared" si="12"/>
        <v>31.427835156</v>
      </c>
      <c r="AM26" s="24">
        <f t="shared" si="2"/>
        <v>75.442311000000004</v>
      </c>
      <c r="AN26" s="24">
        <f t="shared" si="13"/>
        <v>1239.1171615506003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1:55" x14ac:dyDescent="0.3">
      <c r="B27" s="15">
        <v>18</v>
      </c>
      <c r="C27" s="18" t="s">
        <v>75</v>
      </c>
      <c r="D27" s="30" t="s">
        <v>76</v>
      </c>
      <c r="E27" s="18" t="s">
        <v>49</v>
      </c>
      <c r="F27" s="19" t="s">
        <v>224</v>
      </c>
      <c r="G27" s="18">
        <v>0.5</v>
      </c>
      <c r="H27" s="18" t="s">
        <v>230</v>
      </c>
      <c r="I27" s="18">
        <v>3.08</v>
      </c>
      <c r="J27" s="15">
        <v>17697</v>
      </c>
      <c r="K27" s="22">
        <f t="shared" si="31"/>
        <v>39517.400999999998</v>
      </c>
      <c r="L27" s="22"/>
      <c r="M27" s="25"/>
      <c r="N27" s="22"/>
      <c r="O27" s="22"/>
      <c r="P27" s="22"/>
      <c r="Q27" s="22"/>
      <c r="R27" s="25"/>
      <c r="S27" s="25"/>
      <c r="T27" s="25"/>
      <c r="U27" s="25"/>
      <c r="V27" s="25"/>
      <c r="W27" s="25"/>
      <c r="X27" s="25"/>
      <c r="Y27" s="22">
        <f t="shared" si="5"/>
        <v>3951.7401</v>
      </c>
      <c r="Z27" s="23"/>
      <c r="AA27" s="23">
        <f t="shared" ref="AA27" si="34">3975*Z27</f>
        <v>0</v>
      </c>
      <c r="AB27" s="22">
        <f t="shared" si="6"/>
        <v>3951.7401</v>
      </c>
      <c r="AC27" s="22">
        <f t="shared" si="0"/>
        <v>43469.141100000001</v>
      </c>
      <c r="AD27" s="22">
        <f t="shared" si="7"/>
        <v>39122.226990000003</v>
      </c>
      <c r="AE27" s="22">
        <f t="shared" si="8"/>
        <v>2347.3336193999999</v>
      </c>
      <c r="AF27" s="22">
        <f t="shared" si="9"/>
        <v>1369.2779446500003</v>
      </c>
      <c r="AG27" s="22">
        <f t="shared" si="1"/>
        <v>1304.074233</v>
      </c>
      <c r="AH27" s="22">
        <f t="shared" si="10"/>
        <v>39517.400999999998</v>
      </c>
      <c r="AI27" s="24">
        <f t="shared" si="11"/>
        <v>521.62969320000002</v>
      </c>
      <c r="AJ27" s="24">
        <f t="shared" si="12"/>
        <v>28.168003432799999</v>
      </c>
      <c r="AK27" s="24">
        <f t="shared" si="12"/>
        <v>16.431335335800004</v>
      </c>
      <c r="AL27" s="24">
        <f t="shared" si="12"/>
        <v>15.648890796000002</v>
      </c>
      <c r="AM27" s="24">
        <f t="shared" si="2"/>
        <v>39.517401</v>
      </c>
      <c r="AN27" s="24">
        <f t="shared" si="13"/>
        <v>621.39532376459999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5" x14ac:dyDescent="0.3">
      <c r="B28" s="15">
        <v>19</v>
      </c>
      <c r="C28" s="18" t="s">
        <v>77</v>
      </c>
      <c r="D28" s="30" t="s">
        <v>78</v>
      </c>
      <c r="E28" s="18" t="s">
        <v>49</v>
      </c>
      <c r="F28" s="18" t="s">
        <v>226</v>
      </c>
      <c r="G28" s="18">
        <v>1</v>
      </c>
      <c r="H28" s="18" t="s">
        <v>230</v>
      </c>
      <c r="I28" s="18">
        <v>3.19</v>
      </c>
      <c r="J28" s="15">
        <v>17697</v>
      </c>
      <c r="K28" s="22">
        <f t="shared" si="31"/>
        <v>81857.473499999993</v>
      </c>
      <c r="L28" s="22"/>
      <c r="M28" s="25"/>
      <c r="N28" s="22"/>
      <c r="O28" s="22"/>
      <c r="P28" s="22"/>
      <c r="Q28" s="22">
        <v>5309</v>
      </c>
      <c r="R28" s="25"/>
      <c r="S28" s="25"/>
      <c r="T28" s="25"/>
      <c r="U28" s="25"/>
      <c r="V28" s="25"/>
      <c r="W28" s="25"/>
      <c r="X28" s="25"/>
      <c r="Y28" s="22">
        <f t="shared" si="5"/>
        <v>8185.7473499999996</v>
      </c>
      <c r="Z28" s="23">
        <v>1</v>
      </c>
      <c r="AA28" s="23">
        <f t="shared" ref="AA28:AA43" si="35">4313*Z28</f>
        <v>4313</v>
      </c>
      <c r="AB28" s="22">
        <f t="shared" si="6"/>
        <v>17807.747349999998</v>
      </c>
      <c r="AC28" s="22">
        <f t="shared" si="0"/>
        <v>99665.220849999983</v>
      </c>
      <c r="AD28" s="22">
        <f t="shared" si="7"/>
        <v>85385.698764999979</v>
      </c>
      <c r="AE28" s="22">
        <f t="shared" si="8"/>
        <v>5123.1419258999986</v>
      </c>
      <c r="AF28" s="22">
        <f t="shared" si="9"/>
        <v>2988.4994567749995</v>
      </c>
      <c r="AG28" s="22">
        <f t="shared" si="1"/>
        <v>2989.9566254999995</v>
      </c>
      <c r="AH28" s="22">
        <f t="shared" si="10"/>
        <v>81857.473499999993</v>
      </c>
      <c r="AI28" s="24">
        <f t="shared" si="11"/>
        <v>1195.9826501999999</v>
      </c>
      <c r="AJ28" s="24">
        <f t="shared" ref="AJ28:AL43" si="36">(AE28/1000)*12</f>
        <v>61.477703110799986</v>
      </c>
      <c r="AK28" s="24">
        <f t="shared" si="36"/>
        <v>35.861993481299997</v>
      </c>
      <c r="AL28" s="24">
        <f t="shared" si="36"/>
        <v>35.879479505999996</v>
      </c>
      <c r="AM28" s="24">
        <f t="shared" si="2"/>
        <v>81.857473499999998</v>
      </c>
      <c r="AN28" s="24">
        <f t="shared" si="13"/>
        <v>1411.0592997980998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x14ac:dyDescent="0.3">
      <c r="B29" s="15">
        <v>20</v>
      </c>
      <c r="C29" s="18" t="s">
        <v>79</v>
      </c>
      <c r="D29" s="30" t="s">
        <v>80</v>
      </c>
      <c r="E29" s="18" t="s">
        <v>72</v>
      </c>
      <c r="F29" s="18"/>
      <c r="G29" s="18">
        <v>1</v>
      </c>
      <c r="H29" s="18" t="s">
        <v>81</v>
      </c>
      <c r="I29" s="18">
        <v>2.77</v>
      </c>
      <c r="J29" s="15">
        <v>17697</v>
      </c>
      <c r="K29" s="22">
        <f t="shared" si="31"/>
        <v>71080.000499999995</v>
      </c>
      <c r="L29" s="22"/>
      <c r="M29" s="25"/>
      <c r="N29" s="22"/>
      <c r="O29" s="22"/>
      <c r="P29" s="22"/>
      <c r="Q29" s="22"/>
      <c r="R29" s="25"/>
      <c r="S29" s="25"/>
      <c r="T29" s="25"/>
      <c r="U29" s="25"/>
      <c r="V29" s="25"/>
      <c r="W29" s="25"/>
      <c r="X29" s="25"/>
      <c r="Y29" s="22">
        <f t="shared" si="5"/>
        <v>7108.0000499999996</v>
      </c>
      <c r="Z29" s="23">
        <v>1</v>
      </c>
      <c r="AA29" s="23">
        <f t="shared" si="35"/>
        <v>4313</v>
      </c>
      <c r="AB29" s="22">
        <f t="shared" si="6"/>
        <v>11421.000049999999</v>
      </c>
      <c r="AC29" s="22">
        <f t="shared" si="0"/>
        <v>82501.000549999997</v>
      </c>
      <c r="AD29" s="22">
        <f t="shared" si="7"/>
        <v>69937.900494999994</v>
      </c>
      <c r="AE29" s="22">
        <f t="shared" si="8"/>
        <v>4196.2740296999991</v>
      </c>
      <c r="AF29" s="22">
        <f t="shared" si="9"/>
        <v>2447.8265173250002</v>
      </c>
      <c r="AG29" s="22">
        <f t="shared" si="1"/>
        <v>2475.0300164999999</v>
      </c>
      <c r="AH29" s="22">
        <f t="shared" si="10"/>
        <v>71080.000499999995</v>
      </c>
      <c r="AI29" s="24">
        <f t="shared" si="11"/>
        <v>990.01200659999995</v>
      </c>
      <c r="AJ29" s="24">
        <f t="shared" si="36"/>
        <v>50.355288356399981</v>
      </c>
      <c r="AK29" s="24">
        <f t="shared" si="36"/>
        <v>29.373918207900005</v>
      </c>
      <c r="AL29" s="24">
        <f t="shared" si="36"/>
        <v>29.700360197999998</v>
      </c>
      <c r="AM29" s="24">
        <f t="shared" si="2"/>
        <v>71.080000499999997</v>
      </c>
      <c r="AN29" s="24">
        <f t="shared" si="13"/>
        <v>1170.5215738622999</v>
      </c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x14ac:dyDescent="0.3">
      <c r="B30" s="15">
        <v>21</v>
      </c>
      <c r="C30" s="18" t="s">
        <v>82</v>
      </c>
      <c r="D30" s="30" t="s">
        <v>83</v>
      </c>
      <c r="E30" s="18" t="s">
        <v>72</v>
      </c>
      <c r="F30" s="18"/>
      <c r="G30" s="18">
        <v>0.5</v>
      </c>
      <c r="H30" s="18" t="s">
        <v>81</v>
      </c>
      <c r="I30" s="18">
        <v>2.77</v>
      </c>
      <c r="J30" s="15">
        <v>17697</v>
      </c>
      <c r="K30" s="22">
        <f t="shared" si="31"/>
        <v>35540.000249999997</v>
      </c>
      <c r="L30" s="22"/>
      <c r="M30" s="25"/>
      <c r="N30" s="22"/>
      <c r="O30" s="22"/>
      <c r="P30" s="22"/>
      <c r="Q30" s="22"/>
      <c r="R30" s="25"/>
      <c r="S30" s="25"/>
      <c r="T30" s="25"/>
      <c r="U30" s="25"/>
      <c r="V30" s="25"/>
      <c r="W30" s="25"/>
      <c r="X30" s="25"/>
      <c r="Y30" s="22">
        <f t="shared" si="5"/>
        <v>3554.0000249999998</v>
      </c>
      <c r="Z30" s="23">
        <v>1</v>
      </c>
      <c r="AA30" s="23">
        <f t="shared" si="35"/>
        <v>4313</v>
      </c>
      <c r="AB30" s="22">
        <f t="shared" si="6"/>
        <v>7867.0000249999994</v>
      </c>
      <c r="AC30" s="22">
        <f t="shared" si="0"/>
        <v>43407.000274999999</v>
      </c>
      <c r="AD30" s="22">
        <f t="shared" si="7"/>
        <v>34753.300247499996</v>
      </c>
      <c r="AE30" s="22">
        <f t="shared" si="8"/>
        <v>2085.1980148499997</v>
      </c>
      <c r="AF30" s="22">
        <f t="shared" si="9"/>
        <v>1216.3655086624999</v>
      </c>
      <c r="AG30" s="22">
        <f t="shared" si="1"/>
        <v>1302.2100082499999</v>
      </c>
      <c r="AH30" s="22">
        <f t="shared" si="10"/>
        <v>35540.000249999997</v>
      </c>
      <c r="AI30" s="24">
        <f t="shared" si="11"/>
        <v>520.88400330000002</v>
      </c>
      <c r="AJ30" s="24">
        <f t="shared" si="36"/>
        <v>25.022376178199995</v>
      </c>
      <c r="AK30" s="24">
        <f t="shared" si="36"/>
        <v>14.596386103949998</v>
      </c>
      <c r="AL30" s="24">
        <f t="shared" si="36"/>
        <v>15.626520098999999</v>
      </c>
      <c r="AM30" s="24">
        <f t="shared" si="2"/>
        <v>35.540000249999999</v>
      </c>
      <c r="AN30" s="24">
        <f t="shared" si="13"/>
        <v>611.66928593114994</v>
      </c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x14ac:dyDescent="0.3">
      <c r="B31" s="15">
        <v>22</v>
      </c>
      <c r="C31" s="18" t="s">
        <v>84</v>
      </c>
      <c r="D31" s="30" t="s">
        <v>85</v>
      </c>
      <c r="E31" s="18" t="s">
        <v>72</v>
      </c>
      <c r="F31" s="18"/>
      <c r="G31" s="18">
        <v>1</v>
      </c>
      <c r="H31" s="18" t="s">
        <v>81</v>
      </c>
      <c r="I31" s="18">
        <v>2.77</v>
      </c>
      <c r="J31" s="15">
        <v>17697</v>
      </c>
      <c r="K31" s="22">
        <f t="shared" si="31"/>
        <v>71080.000499999995</v>
      </c>
      <c r="L31" s="22"/>
      <c r="M31" s="25"/>
      <c r="N31" s="22"/>
      <c r="O31" s="22"/>
      <c r="P31" s="22"/>
      <c r="Q31" s="22"/>
      <c r="R31" s="25"/>
      <c r="S31" s="25"/>
      <c r="T31" s="25"/>
      <c r="U31" s="25"/>
      <c r="V31" s="25"/>
      <c r="W31" s="25"/>
      <c r="X31" s="25"/>
      <c r="Y31" s="22">
        <f t="shared" si="5"/>
        <v>7108.0000499999996</v>
      </c>
      <c r="Z31" s="23">
        <v>1</v>
      </c>
      <c r="AA31" s="23">
        <f t="shared" si="35"/>
        <v>4313</v>
      </c>
      <c r="AB31" s="22">
        <f t="shared" si="6"/>
        <v>11421.000049999999</v>
      </c>
      <c r="AC31" s="22">
        <f t="shared" si="0"/>
        <v>82501.000549999997</v>
      </c>
      <c r="AD31" s="22">
        <f t="shared" si="7"/>
        <v>69937.900494999994</v>
      </c>
      <c r="AE31" s="22">
        <f t="shared" si="8"/>
        <v>4196.2740296999991</v>
      </c>
      <c r="AF31" s="22">
        <f t="shared" si="9"/>
        <v>2447.8265173250002</v>
      </c>
      <c r="AG31" s="22">
        <f t="shared" si="1"/>
        <v>2475.0300164999999</v>
      </c>
      <c r="AH31" s="22">
        <f t="shared" si="10"/>
        <v>71080.000499999995</v>
      </c>
      <c r="AI31" s="24">
        <f t="shared" si="11"/>
        <v>990.01200659999995</v>
      </c>
      <c r="AJ31" s="24">
        <f t="shared" si="36"/>
        <v>50.355288356399981</v>
      </c>
      <c r="AK31" s="24">
        <f t="shared" si="36"/>
        <v>29.373918207900005</v>
      </c>
      <c r="AL31" s="24">
        <f t="shared" si="36"/>
        <v>29.700360197999998</v>
      </c>
      <c r="AM31" s="24">
        <f t="shared" si="2"/>
        <v>71.080000499999997</v>
      </c>
      <c r="AN31" s="24">
        <f t="shared" si="13"/>
        <v>1170.5215738622999</v>
      </c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x14ac:dyDescent="0.3">
      <c r="B32" s="15">
        <v>23</v>
      </c>
      <c r="C32" s="18" t="s">
        <v>93</v>
      </c>
      <c r="D32" s="30" t="s">
        <v>94</v>
      </c>
      <c r="E32" s="18" t="s">
        <v>72</v>
      </c>
      <c r="F32" s="18"/>
      <c r="G32" s="18">
        <v>1</v>
      </c>
      <c r="H32" s="18" t="s">
        <v>95</v>
      </c>
      <c r="I32" s="18">
        <v>2.84</v>
      </c>
      <c r="J32" s="15">
        <v>17697</v>
      </c>
      <c r="K32" s="22">
        <f>G32*J32*I32*1.45</f>
        <v>72876.245999999985</v>
      </c>
      <c r="L32" s="22"/>
      <c r="M32" s="25"/>
      <c r="N32" s="22"/>
      <c r="O32" s="22"/>
      <c r="P32" s="22"/>
      <c r="Q32" s="22"/>
      <c r="R32" s="25"/>
      <c r="S32" s="25"/>
      <c r="T32" s="25"/>
      <c r="U32" s="25"/>
      <c r="V32" s="25"/>
      <c r="W32" s="25"/>
      <c r="X32" s="24">
        <f>17697*30%</f>
        <v>5309.0999999999995</v>
      </c>
      <c r="Y32" s="22">
        <f>(L32+K32)*10%</f>
        <v>7287.6245999999992</v>
      </c>
      <c r="Z32" s="23">
        <v>1</v>
      </c>
      <c r="AA32" s="23">
        <f>4313*Z32</f>
        <v>4313</v>
      </c>
      <c r="AB32" s="22">
        <f>AA32+Y32+X32+W32+S32+R32+Q32+P32+O32+N32+L32+V32+U32+M32+T32</f>
        <v>16909.724599999998</v>
      </c>
      <c r="AC32" s="22">
        <f>AB32+K32</f>
        <v>89785.970599999986</v>
      </c>
      <c r="AD32" s="22">
        <f>AC32-AC32*10%-AA32</f>
        <v>76494.373539999986</v>
      </c>
      <c r="AE32" s="22">
        <f>AD32*6%</f>
        <v>4589.6624123999991</v>
      </c>
      <c r="AF32" s="22">
        <f>AD32*3.5%</f>
        <v>2677.3030738999996</v>
      </c>
      <c r="AG32" s="22">
        <f>AC32*3%</f>
        <v>2693.5791179999997</v>
      </c>
      <c r="AH32" s="22">
        <f>K32+L32</f>
        <v>72876.245999999985</v>
      </c>
      <c r="AI32" s="24">
        <f>(AC32/1000)*12</f>
        <v>1077.4316471999998</v>
      </c>
      <c r="AJ32" s="24">
        <f t="shared" ref="AJ32:AL36" si="37">(AE32/1000)*12</f>
        <v>55.07594894879999</v>
      </c>
      <c r="AK32" s="24">
        <f t="shared" si="37"/>
        <v>32.127636886799998</v>
      </c>
      <c r="AL32" s="24">
        <f t="shared" si="37"/>
        <v>32.322949416</v>
      </c>
      <c r="AM32" s="24">
        <f>AH32/1000</f>
        <v>72.876245999999981</v>
      </c>
      <c r="AN32" s="24">
        <f>AM32+AL32+AK32+AJ32+AI32</f>
        <v>1269.8344284515997</v>
      </c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2:55" x14ac:dyDescent="0.3">
      <c r="B33" s="15">
        <v>24</v>
      </c>
      <c r="C33" s="18" t="s">
        <v>96</v>
      </c>
      <c r="D33" s="30" t="s">
        <v>97</v>
      </c>
      <c r="E33" s="18" t="s">
        <v>72</v>
      </c>
      <c r="F33" s="18"/>
      <c r="G33" s="18">
        <v>1</v>
      </c>
      <c r="H33" s="18" t="s">
        <v>87</v>
      </c>
      <c r="I33" s="18">
        <v>2.81</v>
      </c>
      <c r="J33" s="15">
        <v>17697</v>
      </c>
      <c r="K33" s="22">
        <f>G33*J33*I33*1.45</f>
        <v>72106.426500000001</v>
      </c>
      <c r="L33" s="22"/>
      <c r="M33" s="25"/>
      <c r="N33" s="22"/>
      <c r="O33" s="22"/>
      <c r="P33" s="22"/>
      <c r="Q33" s="22"/>
      <c r="R33" s="25"/>
      <c r="S33" s="25"/>
      <c r="T33" s="25"/>
      <c r="U33" s="25"/>
      <c r="V33" s="25"/>
      <c r="W33" s="25"/>
      <c r="X33" s="25"/>
      <c r="Y33" s="22">
        <f>(L33+K33)*10%</f>
        <v>7210.6426500000007</v>
      </c>
      <c r="Z33" s="23">
        <v>1</v>
      </c>
      <c r="AA33" s="23">
        <f>4313*Z33</f>
        <v>4313</v>
      </c>
      <c r="AB33" s="22">
        <f>AA33+Y33+X33+W33+S33+R33+Q33+P33+O33+N33+L33+V33+U33+M33+T33</f>
        <v>11523.642650000002</v>
      </c>
      <c r="AC33" s="22">
        <f>AB33+K33</f>
        <v>83630.069149999996</v>
      </c>
      <c r="AD33" s="22">
        <f>AC33-AC33*10%-AA33</f>
        <v>70954.06223499999</v>
      </c>
      <c r="AE33" s="22">
        <f>AD33*6%</f>
        <v>4257.2437340999995</v>
      </c>
      <c r="AF33" s="22">
        <f>AD33*3.5%</f>
        <v>2483.392178225</v>
      </c>
      <c r="AG33" s="22">
        <f>AC33*3%</f>
        <v>2508.9020744999998</v>
      </c>
      <c r="AH33" s="22">
        <f>K33+L33</f>
        <v>72106.426500000001</v>
      </c>
      <c r="AI33" s="24">
        <f>(AC33/1000)*12</f>
        <v>1003.5608298</v>
      </c>
      <c r="AJ33" s="24">
        <f t="shared" si="37"/>
        <v>51.086924809199992</v>
      </c>
      <c r="AK33" s="24">
        <f t="shared" si="37"/>
        <v>29.800706138700001</v>
      </c>
      <c r="AL33" s="24">
        <f t="shared" si="37"/>
        <v>30.106824893999999</v>
      </c>
      <c r="AM33" s="24">
        <f>AH33/1000</f>
        <v>72.106426499999998</v>
      </c>
      <c r="AN33" s="24">
        <f>AM33+AL33+AK33+AJ33+AI33</f>
        <v>1186.6617121418999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2:55" x14ac:dyDescent="0.3">
      <c r="B34" s="15">
        <v>25</v>
      </c>
      <c r="C34" s="18" t="s">
        <v>98</v>
      </c>
      <c r="D34" s="30" t="s">
        <v>99</v>
      </c>
      <c r="E34" s="18" t="s">
        <v>72</v>
      </c>
      <c r="F34" s="18"/>
      <c r="G34" s="18">
        <v>1</v>
      </c>
      <c r="H34" s="18" t="s">
        <v>87</v>
      </c>
      <c r="I34" s="18">
        <v>2.81</v>
      </c>
      <c r="J34" s="15">
        <v>17697</v>
      </c>
      <c r="K34" s="22">
        <f>G34*J34*I34*1.45</f>
        <v>72106.426500000001</v>
      </c>
      <c r="L34" s="22"/>
      <c r="M34" s="25"/>
      <c r="N34" s="22"/>
      <c r="O34" s="22"/>
      <c r="P34" s="22"/>
      <c r="Q34" s="22"/>
      <c r="R34" s="24">
        <f>K34/164.92*80/2</f>
        <v>17488.825248605386</v>
      </c>
      <c r="S34" s="25"/>
      <c r="T34" s="25"/>
      <c r="U34" s="25"/>
      <c r="V34" s="25"/>
      <c r="W34" s="24">
        <f>K34/164.92*24/2</f>
        <v>5246.6475745816151</v>
      </c>
      <c r="X34" s="25"/>
      <c r="Y34" s="22">
        <f>(L34+K34)*10%</f>
        <v>7210.6426500000007</v>
      </c>
      <c r="Z34" s="23">
        <v>1</v>
      </c>
      <c r="AA34" s="23">
        <f>4313*Z34</f>
        <v>4313</v>
      </c>
      <c r="AB34" s="22">
        <f>AA34+Y34+X34+W34+S34+R34+Q34+P34+O34+N34+L34+V34+U34+M34+T34</f>
        <v>34259.115473187005</v>
      </c>
      <c r="AC34" s="22">
        <f>AB34+K34</f>
        <v>106365.54197318701</v>
      </c>
      <c r="AD34" s="22">
        <f>AC34-AC34*10%-AA34</f>
        <v>91415.9877758683</v>
      </c>
      <c r="AE34" s="22">
        <f>AD34*6%</f>
        <v>5484.9592665520977</v>
      </c>
      <c r="AF34" s="22">
        <f>AD34*3.5%</f>
        <v>3199.5595721553909</v>
      </c>
      <c r="AG34" s="22">
        <f>AC34*3%</f>
        <v>3190.9662591956103</v>
      </c>
      <c r="AH34" s="22">
        <f>K34+L34</f>
        <v>72106.426500000001</v>
      </c>
      <c r="AI34" s="24">
        <f>(AC34/1000)*12</f>
        <v>1276.386503678244</v>
      </c>
      <c r="AJ34" s="24">
        <f t="shared" si="37"/>
        <v>65.819511198625179</v>
      </c>
      <c r="AK34" s="24">
        <f t="shared" si="37"/>
        <v>38.394714865864692</v>
      </c>
      <c r="AL34" s="24">
        <f t="shared" si="37"/>
        <v>38.291595110347323</v>
      </c>
      <c r="AM34" s="24">
        <f>AH34/1000</f>
        <v>72.106426499999998</v>
      </c>
      <c r="AN34" s="24">
        <f>AM34+AL34+AK34+AJ34+AI34</f>
        <v>1490.9987513530812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2:55" x14ac:dyDescent="0.3">
      <c r="B35" s="15">
        <v>26</v>
      </c>
      <c r="C35" s="18" t="s">
        <v>89</v>
      </c>
      <c r="D35" s="30" t="s">
        <v>212</v>
      </c>
      <c r="E35" s="18" t="s">
        <v>72</v>
      </c>
      <c r="F35" s="18"/>
      <c r="G35" s="18">
        <v>1</v>
      </c>
      <c r="H35" s="18" t="s">
        <v>87</v>
      </c>
      <c r="I35" s="18">
        <v>2.84</v>
      </c>
      <c r="J35" s="15">
        <v>17697</v>
      </c>
      <c r="K35" s="22">
        <f>G35*J35*I35*1.45</f>
        <v>72876.245999999985</v>
      </c>
      <c r="L35" s="22"/>
      <c r="M35" s="25"/>
      <c r="N35" s="22"/>
      <c r="O35" s="22"/>
      <c r="P35" s="22"/>
      <c r="Q35" s="22"/>
      <c r="R35" s="24">
        <f>36348/164.92*80/2</f>
        <v>8815.910744603445</v>
      </c>
      <c r="S35" s="25"/>
      <c r="T35" s="25"/>
      <c r="U35" s="25"/>
      <c r="V35" s="25"/>
      <c r="W35" s="24">
        <f>K35/164.92*24/2</f>
        <v>5302.6616056269695</v>
      </c>
      <c r="X35" s="25"/>
      <c r="Y35" s="22">
        <f>(L35+K35)*10%</f>
        <v>7287.6245999999992</v>
      </c>
      <c r="Z35" s="23">
        <v>1</v>
      </c>
      <c r="AA35" s="23">
        <f>4313*Z35</f>
        <v>4313</v>
      </c>
      <c r="AB35" s="22">
        <f>AA35+Y35+X35+W35+S35+R35+Q35+P35+O35+N35+L35+V35+U35+M35+T35</f>
        <v>25719.196950230413</v>
      </c>
      <c r="AC35" s="22">
        <f>AB35+K35</f>
        <v>98595.442950230397</v>
      </c>
      <c r="AD35" s="22">
        <f>AC35-AC35*10%-AA35</f>
        <v>84422.898655207362</v>
      </c>
      <c r="AE35" s="22">
        <f>AD35*6%</f>
        <v>5065.3739193124411</v>
      </c>
      <c r="AF35" s="22">
        <f>AD35*3.5%</f>
        <v>2954.8014529322581</v>
      </c>
      <c r="AG35" s="22">
        <f>AC35*3%</f>
        <v>2957.8632885069119</v>
      </c>
      <c r="AH35" s="22">
        <f>K35+L35</f>
        <v>72876.245999999985</v>
      </c>
      <c r="AI35" s="24">
        <f>(AC35/1000)*12</f>
        <v>1183.1453154027647</v>
      </c>
      <c r="AJ35" s="24">
        <f t="shared" si="37"/>
        <v>60.784487031749293</v>
      </c>
      <c r="AK35" s="24">
        <f t="shared" si="37"/>
        <v>35.457617435187096</v>
      </c>
      <c r="AL35" s="24">
        <f t="shared" si="37"/>
        <v>35.49435946208294</v>
      </c>
      <c r="AM35" s="24">
        <f>AH35/1000</f>
        <v>72.876245999999981</v>
      </c>
      <c r="AN35" s="24">
        <f>AM35+AL35+AK35+AJ35+AI35</f>
        <v>1387.758025331784</v>
      </c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2:55" x14ac:dyDescent="0.3">
      <c r="B36" s="15">
        <v>27</v>
      </c>
      <c r="C36" s="18" t="s">
        <v>100</v>
      </c>
      <c r="D36" s="30" t="s">
        <v>99</v>
      </c>
      <c r="E36" s="18" t="s">
        <v>72</v>
      </c>
      <c r="F36" s="18"/>
      <c r="G36" s="18">
        <v>1</v>
      </c>
      <c r="H36" s="18" t="s">
        <v>87</v>
      </c>
      <c r="I36" s="18">
        <v>2.81</v>
      </c>
      <c r="J36" s="15">
        <v>17697</v>
      </c>
      <c r="K36" s="22">
        <f>G36*J36*I36*1.45</f>
        <v>72106.426500000001</v>
      </c>
      <c r="L36" s="22"/>
      <c r="M36" s="25"/>
      <c r="N36" s="22"/>
      <c r="O36" s="22"/>
      <c r="P36" s="22"/>
      <c r="Q36" s="22"/>
      <c r="R36" s="24">
        <f t="shared" ref="R36" si="38">K36/164.92*80/2</f>
        <v>17488.825248605386</v>
      </c>
      <c r="S36" s="25"/>
      <c r="T36" s="25"/>
      <c r="U36" s="25"/>
      <c r="V36" s="25"/>
      <c r="W36" s="24">
        <f t="shared" ref="W36" si="39">K36/164.92*24/2</f>
        <v>5246.6475745816151</v>
      </c>
      <c r="X36" s="25"/>
      <c r="Y36" s="22">
        <f>(L36+K36)*10%</f>
        <v>7210.6426500000007</v>
      </c>
      <c r="Z36" s="23">
        <v>1</v>
      </c>
      <c r="AA36" s="23">
        <f>4313*Z36</f>
        <v>4313</v>
      </c>
      <c r="AB36" s="22">
        <f>AA36+Y36+X36+W36+S36+R36+Q36+P36+O36+N36+L36+V36+U36+M36+T36</f>
        <v>34259.115473187005</v>
      </c>
      <c r="AC36" s="22">
        <f>AB36+K36</f>
        <v>106365.54197318701</v>
      </c>
      <c r="AD36" s="22">
        <f>AC36-AC36*10%-AA36</f>
        <v>91415.9877758683</v>
      </c>
      <c r="AE36" s="22">
        <f>AD36*6%</f>
        <v>5484.9592665520977</v>
      </c>
      <c r="AF36" s="22">
        <f>AD36*3.5%</f>
        <v>3199.5595721553909</v>
      </c>
      <c r="AG36" s="22">
        <f>AC36*3%</f>
        <v>3190.9662591956103</v>
      </c>
      <c r="AH36" s="22">
        <f>K36+L36</f>
        <v>72106.426500000001</v>
      </c>
      <c r="AI36" s="24">
        <f>(AC36/1000)*12</f>
        <v>1276.386503678244</v>
      </c>
      <c r="AJ36" s="24">
        <f t="shared" si="37"/>
        <v>65.819511198625179</v>
      </c>
      <c r="AK36" s="24">
        <f t="shared" si="37"/>
        <v>38.394714865864692</v>
      </c>
      <c r="AL36" s="24">
        <f t="shared" si="37"/>
        <v>38.291595110347323</v>
      </c>
      <c r="AM36" s="24">
        <f>AH36/1000</f>
        <v>72.106426499999998</v>
      </c>
      <c r="AN36" s="24">
        <f>AM36+AL36+AK36+AJ36+AI36</f>
        <v>1490.9987513530812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2:55" x14ac:dyDescent="0.3">
      <c r="B37" s="15">
        <v>28</v>
      </c>
      <c r="C37" s="18" t="s">
        <v>211</v>
      </c>
      <c r="D37" s="30" t="s">
        <v>86</v>
      </c>
      <c r="E37" s="18" t="s">
        <v>72</v>
      </c>
      <c r="F37" s="18"/>
      <c r="G37" s="18">
        <v>0.5</v>
      </c>
      <c r="H37" s="18" t="s">
        <v>87</v>
      </c>
      <c r="I37" s="18">
        <v>2.81</v>
      </c>
      <c r="J37" s="15">
        <v>17697</v>
      </c>
      <c r="K37" s="22">
        <f t="shared" si="31"/>
        <v>36053.213250000001</v>
      </c>
      <c r="L37" s="22"/>
      <c r="M37" s="25"/>
      <c r="N37" s="22"/>
      <c r="O37" s="22"/>
      <c r="P37" s="22">
        <f>5309*0.5</f>
        <v>2654.5</v>
      </c>
      <c r="Q37" s="22"/>
      <c r="R37" s="25"/>
      <c r="S37" s="25"/>
      <c r="T37" s="25"/>
      <c r="U37" s="25"/>
      <c r="V37" s="25"/>
      <c r="W37" s="25"/>
      <c r="X37" s="25"/>
      <c r="Y37" s="22">
        <f t="shared" si="5"/>
        <v>3605.3213250000003</v>
      </c>
      <c r="Z37" s="23">
        <v>1</v>
      </c>
      <c r="AA37" s="23">
        <f t="shared" si="35"/>
        <v>4313</v>
      </c>
      <c r="AB37" s="22">
        <f t="shared" si="6"/>
        <v>10572.821325000001</v>
      </c>
      <c r="AC37" s="22">
        <f t="shared" si="0"/>
        <v>46626.034574999998</v>
      </c>
      <c r="AD37" s="22">
        <f t="shared" si="7"/>
        <v>37650.431117499997</v>
      </c>
      <c r="AE37" s="22">
        <f t="shared" si="8"/>
        <v>2259.0258670499998</v>
      </c>
      <c r="AF37" s="22">
        <f t="shared" si="9"/>
        <v>1317.7650891124999</v>
      </c>
      <c r="AG37" s="22">
        <f t="shared" si="1"/>
        <v>1398.7810372499998</v>
      </c>
      <c r="AH37" s="22">
        <f t="shared" si="10"/>
        <v>36053.213250000001</v>
      </c>
      <c r="AI37" s="24">
        <f t="shared" si="11"/>
        <v>559.51241489999995</v>
      </c>
      <c r="AJ37" s="24">
        <f t="shared" si="36"/>
        <v>27.108310404599997</v>
      </c>
      <c r="AK37" s="24">
        <f t="shared" si="36"/>
        <v>15.813181069349998</v>
      </c>
      <c r="AL37" s="24">
        <f t="shared" si="36"/>
        <v>16.785372446999997</v>
      </c>
      <c r="AM37" s="24">
        <f t="shared" si="2"/>
        <v>36.053213249999999</v>
      </c>
      <c r="AN37" s="24">
        <f t="shared" si="13"/>
        <v>655.27249207094997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2:55" x14ac:dyDescent="0.3">
      <c r="B38" s="15">
        <v>29</v>
      </c>
      <c r="C38" s="18" t="s">
        <v>211</v>
      </c>
      <c r="D38" s="30" t="s">
        <v>88</v>
      </c>
      <c r="E38" s="18" t="s">
        <v>72</v>
      </c>
      <c r="F38" s="18"/>
      <c r="G38" s="18">
        <v>0.25</v>
      </c>
      <c r="H38" s="18" t="s">
        <v>87</v>
      </c>
      <c r="I38" s="18">
        <v>2.81</v>
      </c>
      <c r="J38" s="15">
        <v>17697</v>
      </c>
      <c r="K38" s="22">
        <f t="shared" si="31"/>
        <v>18026.606625</v>
      </c>
      <c r="L38" s="22"/>
      <c r="M38" s="25"/>
      <c r="N38" s="22"/>
      <c r="O38" s="22">
        <f>0.25*3539</f>
        <v>884.75</v>
      </c>
      <c r="P38" s="22"/>
      <c r="Q38" s="22"/>
      <c r="R38" s="25"/>
      <c r="S38" s="25"/>
      <c r="T38" s="25"/>
      <c r="U38" s="25"/>
      <c r="V38" s="25"/>
      <c r="W38" s="25"/>
      <c r="X38" s="25"/>
      <c r="Y38" s="22">
        <f t="shared" si="5"/>
        <v>1802.6606625000002</v>
      </c>
      <c r="Z38" s="23"/>
      <c r="AA38" s="23">
        <f t="shared" si="35"/>
        <v>0</v>
      </c>
      <c r="AB38" s="22">
        <f t="shared" si="6"/>
        <v>2687.4106625000004</v>
      </c>
      <c r="AC38" s="22">
        <f t="shared" si="0"/>
        <v>20714.017287499999</v>
      </c>
      <c r="AD38" s="22">
        <f t="shared" si="7"/>
        <v>18642.61555875</v>
      </c>
      <c r="AE38" s="22">
        <f t="shared" si="8"/>
        <v>1118.556933525</v>
      </c>
      <c r="AF38" s="22">
        <f t="shared" si="9"/>
        <v>652.49154455625001</v>
      </c>
      <c r="AG38" s="22">
        <f t="shared" si="1"/>
        <v>621.420518625</v>
      </c>
      <c r="AH38" s="22">
        <f t="shared" si="10"/>
        <v>18026.606625</v>
      </c>
      <c r="AI38" s="24">
        <f t="shared" si="11"/>
        <v>248.56820744999999</v>
      </c>
      <c r="AJ38" s="24">
        <f t="shared" si="36"/>
        <v>13.4226832023</v>
      </c>
      <c r="AK38" s="24">
        <f t="shared" si="36"/>
        <v>7.8298985346750003</v>
      </c>
      <c r="AL38" s="24">
        <f t="shared" si="36"/>
        <v>7.4570462235000008</v>
      </c>
      <c r="AM38" s="24">
        <f t="shared" si="2"/>
        <v>18.026606624999999</v>
      </c>
      <c r="AN38" s="24">
        <f t="shared" si="13"/>
        <v>295.30444203547501</v>
      </c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</row>
    <row r="39" spans="2:55" x14ac:dyDescent="0.3">
      <c r="B39" s="15">
        <v>30</v>
      </c>
      <c r="C39" s="18" t="s">
        <v>101</v>
      </c>
      <c r="D39" s="30" t="s">
        <v>102</v>
      </c>
      <c r="E39" s="18" t="s">
        <v>72</v>
      </c>
      <c r="F39" s="18"/>
      <c r="G39" s="18">
        <v>0.75</v>
      </c>
      <c r="H39" s="18" t="s">
        <v>87</v>
      </c>
      <c r="I39" s="18">
        <v>2.81</v>
      </c>
      <c r="J39" s="15">
        <v>17697</v>
      </c>
      <c r="K39" s="22">
        <f t="shared" si="31"/>
        <v>54079.819874999994</v>
      </c>
      <c r="L39" s="22"/>
      <c r="M39" s="25"/>
      <c r="N39" s="22"/>
      <c r="O39" s="22">
        <f>G39*3539</f>
        <v>2654.25</v>
      </c>
      <c r="P39" s="22"/>
      <c r="Q39" s="22"/>
      <c r="R39" s="25"/>
      <c r="S39" s="25"/>
      <c r="T39" s="25"/>
      <c r="U39" s="25"/>
      <c r="V39" s="25"/>
      <c r="W39" s="25"/>
      <c r="X39" s="25"/>
      <c r="Y39" s="22">
        <f t="shared" si="5"/>
        <v>5407.9819874999994</v>
      </c>
      <c r="Z39" s="23">
        <v>1</v>
      </c>
      <c r="AA39" s="23">
        <f t="shared" si="35"/>
        <v>4313</v>
      </c>
      <c r="AB39" s="22">
        <f t="shared" si="6"/>
        <v>12375.231987499999</v>
      </c>
      <c r="AC39" s="22">
        <f t="shared" si="0"/>
        <v>66455.051862499997</v>
      </c>
      <c r="AD39" s="22">
        <f t="shared" si="7"/>
        <v>55496.54667625</v>
      </c>
      <c r="AE39" s="22">
        <f t="shared" si="8"/>
        <v>3329.792800575</v>
      </c>
      <c r="AF39" s="22">
        <f t="shared" si="9"/>
        <v>1942.3791336687502</v>
      </c>
      <c r="AG39" s="22">
        <f t="shared" si="1"/>
        <v>1993.6515558749998</v>
      </c>
      <c r="AH39" s="22">
        <f t="shared" si="10"/>
        <v>54079.819874999994</v>
      </c>
      <c r="AI39" s="24">
        <f t="shared" si="11"/>
        <v>797.46062234999999</v>
      </c>
      <c r="AJ39" s="24">
        <f t="shared" si="36"/>
        <v>39.957513606900001</v>
      </c>
      <c r="AK39" s="24">
        <f t="shared" si="36"/>
        <v>23.308549604025004</v>
      </c>
      <c r="AL39" s="24">
        <f t="shared" si="36"/>
        <v>23.923818670499998</v>
      </c>
      <c r="AM39" s="24">
        <f t="shared" si="2"/>
        <v>54.079819874999991</v>
      </c>
      <c r="AN39" s="24">
        <f t="shared" si="13"/>
        <v>938.73032410642497</v>
      </c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2:55" x14ac:dyDescent="0.3">
      <c r="B40" s="15">
        <v>31</v>
      </c>
      <c r="C40" s="18" t="s">
        <v>103</v>
      </c>
      <c r="D40" s="30" t="s">
        <v>102</v>
      </c>
      <c r="E40" s="18" t="s">
        <v>72</v>
      </c>
      <c r="F40" s="18"/>
      <c r="G40" s="18">
        <v>1</v>
      </c>
      <c r="H40" s="18" t="s">
        <v>87</v>
      </c>
      <c r="I40" s="18">
        <v>2.81</v>
      </c>
      <c r="J40" s="15">
        <v>17697</v>
      </c>
      <c r="K40" s="22">
        <f t="shared" si="31"/>
        <v>72106.426500000001</v>
      </c>
      <c r="L40" s="22"/>
      <c r="M40" s="25"/>
      <c r="N40" s="22"/>
      <c r="O40" s="22">
        <v>3539</v>
      </c>
      <c r="P40" s="22"/>
      <c r="Q40" s="22"/>
      <c r="R40" s="25"/>
      <c r="S40" s="25"/>
      <c r="T40" s="25"/>
      <c r="U40" s="25"/>
      <c r="V40" s="25"/>
      <c r="W40" s="25"/>
      <c r="X40" s="25"/>
      <c r="Y40" s="22">
        <f t="shared" si="5"/>
        <v>7210.6426500000007</v>
      </c>
      <c r="Z40" s="23">
        <v>1</v>
      </c>
      <c r="AA40" s="23">
        <f t="shared" si="35"/>
        <v>4313</v>
      </c>
      <c r="AB40" s="22">
        <f t="shared" si="6"/>
        <v>15062.642650000002</v>
      </c>
      <c r="AC40" s="22">
        <f t="shared" si="0"/>
        <v>87169.069149999996</v>
      </c>
      <c r="AD40" s="22">
        <f t="shared" si="7"/>
        <v>74139.162234999996</v>
      </c>
      <c r="AE40" s="22">
        <f t="shared" si="8"/>
        <v>4448.3497340999993</v>
      </c>
      <c r="AF40" s="22">
        <f t="shared" si="9"/>
        <v>2594.8706782250001</v>
      </c>
      <c r="AG40" s="22">
        <f t="shared" si="1"/>
        <v>2615.0720744999999</v>
      </c>
      <c r="AH40" s="22">
        <f t="shared" si="10"/>
        <v>72106.426500000001</v>
      </c>
      <c r="AI40" s="24">
        <f t="shared" si="11"/>
        <v>1046.0288298</v>
      </c>
      <c r="AJ40" s="24">
        <f t="shared" si="36"/>
        <v>53.380196809199987</v>
      </c>
      <c r="AK40" s="24">
        <f t="shared" si="36"/>
        <v>31.138448138699999</v>
      </c>
      <c r="AL40" s="24">
        <f t="shared" si="36"/>
        <v>31.380864893999998</v>
      </c>
      <c r="AM40" s="24">
        <f t="shared" si="2"/>
        <v>72.106426499999998</v>
      </c>
      <c r="AN40" s="24">
        <f t="shared" si="13"/>
        <v>1234.0347661419</v>
      </c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2:55" x14ac:dyDescent="0.3">
      <c r="B41" s="15">
        <v>32</v>
      </c>
      <c r="C41" s="18" t="s">
        <v>104</v>
      </c>
      <c r="D41" s="30" t="s">
        <v>102</v>
      </c>
      <c r="E41" s="18" t="s">
        <v>72</v>
      </c>
      <c r="F41" s="18"/>
      <c r="G41" s="18">
        <v>1</v>
      </c>
      <c r="H41" s="18" t="s">
        <v>87</v>
      </c>
      <c r="I41" s="18">
        <v>2.81</v>
      </c>
      <c r="J41" s="15">
        <v>17697</v>
      </c>
      <c r="K41" s="22">
        <f t="shared" si="31"/>
        <v>72106.426500000001</v>
      </c>
      <c r="L41" s="22"/>
      <c r="M41" s="25"/>
      <c r="N41" s="22"/>
      <c r="O41" s="22"/>
      <c r="P41" s="22">
        <v>5309</v>
      </c>
      <c r="Q41" s="22"/>
      <c r="R41" s="25"/>
      <c r="S41" s="25"/>
      <c r="T41" s="25"/>
      <c r="U41" s="25"/>
      <c r="V41" s="25"/>
      <c r="W41" s="25"/>
      <c r="X41" s="25"/>
      <c r="Y41" s="22">
        <f t="shared" si="5"/>
        <v>7210.6426500000007</v>
      </c>
      <c r="Z41" s="23">
        <v>1</v>
      </c>
      <c r="AA41" s="23">
        <f t="shared" si="35"/>
        <v>4313</v>
      </c>
      <c r="AB41" s="22">
        <f t="shared" si="6"/>
        <v>16832.642650000002</v>
      </c>
      <c r="AC41" s="22">
        <f t="shared" si="0"/>
        <v>88939.069149999996</v>
      </c>
      <c r="AD41" s="22">
        <f t="shared" si="7"/>
        <v>75732.162234999996</v>
      </c>
      <c r="AE41" s="22">
        <f t="shared" si="8"/>
        <v>4543.9297340999992</v>
      </c>
      <c r="AF41" s="22">
        <f t="shared" si="9"/>
        <v>2650.6256782250002</v>
      </c>
      <c r="AG41" s="22">
        <f t="shared" si="1"/>
        <v>2668.1720744999998</v>
      </c>
      <c r="AH41" s="22">
        <f t="shared" si="10"/>
        <v>72106.426500000001</v>
      </c>
      <c r="AI41" s="24">
        <f t="shared" si="11"/>
        <v>1067.2688297999998</v>
      </c>
      <c r="AJ41" s="24">
        <f t="shared" si="36"/>
        <v>54.527156809199987</v>
      </c>
      <c r="AK41" s="24">
        <f t="shared" si="36"/>
        <v>31.807508138700005</v>
      </c>
      <c r="AL41" s="24">
        <f t="shared" si="36"/>
        <v>32.018064893999998</v>
      </c>
      <c r="AM41" s="24">
        <f t="shared" si="2"/>
        <v>72.106426499999998</v>
      </c>
      <c r="AN41" s="24">
        <f t="shared" si="13"/>
        <v>1257.7279861418997</v>
      </c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2:55" x14ac:dyDescent="0.3">
      <c r="B42" s="15">
        <v>33</v>
      </c>
      <c r="C42" s="18" t="s">
        <v>105</v>
      </c>
      <c r="D42" s="30" t="s">
        <v>102</v>
      </c>
      <c r="E42" s="18" t="s">
        <v>72</v>
      </c>
      <c r="F42" s="18"/>
      <c r="G42" s="18">
        <v>0.75</v>
      </c>
      <c r="H42" s="18" t="s">
        <v>87</v>
      </c>
      <c r="I42" s="18">
        <v>2.81</v>
      </c>
      <c r="J42" s="15">
        <v>17697</v>
      </c>
      <c r="K42" s="22">
        <f t="shared" si="31"/>
        <v>54079.819874999994</v>
      </c>
      <c r="L42" s="22"/>
      <c r="M42" s="25"/>
      <c r="N42" s="22"/>
      <c r="O42" s="22">
        <f>0.75*3539</f>
        <v>2654.25</v>
      </c>
      <c r="P42" s="22"/>
      <c r="Q42" s="22"/>
      <c r="R42" s="25"/>
      <c r="S42" s="25"/>
      <c r="T42" s="25"/>
      <c r="U42" s="25"/>
      <c r="V42" s="25"/>
      <c r="W42" s="25"/>
      <c r="X42" s="25"/>
      <c r="Y42" s="22">
        <f t="shared" si="5"/>
        <v>5407.9819874999994</v>
      </c>
      <c r="Z42" s="23">
        <v>1</v>
      </c>
      <c r="AA42" s="23">
        <f t="shared" si="35"/>
        <v>4313</v>
      </c>
      <c r="AB42" s="22">
        <f t="shared" si="6"/>
        <v>12375.231987499999</v>
      </c>
      <c r="AC42" s="22">
        <f t="shared" si="0"/>
        <v>66455.051862499997</v>
      </c>
      <c r="AD42" s="22">
        <f t="shared" si="7"/>
        <v>55496.54667625</v>
      </c>
      <c r="AE42" s="22">
        <f t="shared" si="8"/>
        <v>3329.792800575</v>
      </c>
      <c r="AF42" s="22">
        <f t="shared" si="9"/>
        <v>1942.3791336687502</v>
      </c>
      <c r="AG42" s="22">
        <f t="shared" si="1"/>
        <v>1993.6515558749998</v>
      </c>
      <c r="AH42" s="22">
        <f t="shared" si="10"/>
        <v>54079.819874999994</v>
      </c>
      <c r="AI42" s="24">
        <f t="shared" si="11"/>
        <v>797.46062234999999</v>
      </c>
      <c r="AJ42" s="24">
        <f t="shared" si="36"/>
        <v>39.957513606900001</v>
      </c>
      <c r="AK42" s="24">
        <f t="shared" si="36"/>
        <v>23.308549604025004</v>
      </c>
      <c r="AL42" s="24">
        <f t="shared" si="36"/>
        <v>23.923818670499998</v>
      </c>
      <c r="AM42" s="24">
        <f t="shared" si="2"/>
        <v>54.079819874999991</v>
      </c>
      <c r="AN42" s="24">
        <f t="shared" si="13"/>
        <v>938.73032410642497</v>
      </c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2:55" x14ac:dyDescent="0.3">
      <c r="B43" s="15">
        <v>34</v>
      </c>
      <c r="C43" s="18" t="s">
        <v>106</v>
      </c>
      <c r="D43" s="30" t="s">
        <v>107</v>
      </c>
      <c r="E43" s="18" t="s">
        <v>72</v>
      </c>
      <c r="F43" s="18"/>
      <c r="G43" s="18">
        <v>1</v>
      </c>
      <c r="H43" s="18" t="s">
        <v>95</v>
      </c>
      <c r="I43" s="18">
        <v>2.84</v>
      </c>
      <c r="J43" s="15">
        <v>17697</v>
      </c>
      <c r="K43" s="22">
        <f t="shared" si="31"/>
        <v>72876.245999999985</v>
      </c>
      <c r="L43" s="22"/>
      <c r="M43" s="25"/>
      <c r="N43" s="22"/>
      <c r="O43" s="22"/>
      <c r="P43" s="22"/>
      <c r="Q43" s="22"/>
      <c r="R43" s="25"/>
      <c r="S43" s="25"/>
      <c r="T43" s="25"/>
      <c r="U43" s="25"/>
      <c r="V43" s="25"/>
      <c r="W43" s="25"/>
      <c r="X43" s="25"/>
      <c r="Y43" s="22">
        <f>(L43+K43)*10%</f>
        <v>7287.6245999999992</v>
      </c>
      <c r="Z43" s="23">
        <v>1</v>
      </c>
      <c r="AA43" s="23">
        <f t="shared" si="35"/>
        <v>4313</v>
      </c>
      <c r="AB43" s="22">
        <f t="shared" si="6"/>
        <v>11600.624599999999</v>
      </c>
      <c r="AC43" s="22">
        <f t="shared" si="0"/>
        <v>84476.87059999998</v>
      </c>
      <c r="AD43" s="22">
        <f t="shared" si="7"/>
        <v>71716.183539999984</v>
      </c>
      <c r="AE43" s="22">
        <f t="shared" si="8"/>
        <v>4302.9710123999985</v>
      </c>
      <c r="AF43" s="22">
        <f t="shared" si="9"/>
        <v>2510.0664238999998</v>
      </c>
      <c r="AG43" s="22">
        <f t="shared" si="1"/>
        <v>2534.3061179999995</v>
      </c>
      <c r="AH43" s="22">
        <f t="shared" si="10"/>
        <v>72876.245999999985</v>
      </c>
      <c r="AI43" s="24">
        <f t="shared" si="11"/>
        <v>1013.7224471999998</v>
      </c>
      <c r="AJ43" s="24">
        <f t="shared" si="36"/>
        <v>51.635652148799984</v>
      </c>
      <c r="AK43" s="24">
        <f t="shared" si="36"/>
        <v>30.120797086799996</v>
      </c>
      <c r="AL43" s="24">
        <f t="shared" si="36"/>
        <v>30.411673415999992</v>
      </c>
      <c r="AM43" s="24">
        <f t="shared" si="2"/>
        <v>72.876245999999981</v>
      </c>
      <c r="AN43" s="24">
        <f t="shared" si="13"/>
        <v>1198.7668158515999</v>
      </c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2:55" x14ac:dyDescent="0.3">
      <c r="B44" s="15">
        <v>35</v>
      </c>
      <c r="C44" s="18" t="s">
        <v>108</v>
      </c>
      <c r="D44" s="30" t="s">
        <v>109</v>
      </c>
      <c r="E44" s="18" t="s">
        <v>72</v>
      </c>
      <c r="F44" s="18"/>
      <c r="G44" s="18">
        <v>1</v>
      </c>
      <c r="H44" s="18" t="s">
        <v>95</v>
      </c>
      <c r="I44" s="18">
        <v>2.84</v>
      </c>
      <c r="J44" s="15">
        <v>17698</v>
      </c>
      <c r="K44" s="22">
        <f t="shared" si="31"/>
        <v>72880.364000000001</v>
      </c>
      <c r="L44" s="22"/>
      <c r="M44" s="25"/>
      <c r="N44" s="22"/>
      <c r="O44" s="22"/>
      <c r="P44" s="22"/>
      <c r="Q44" s="22"/>
      <c r="R44" s="25"/>
      <c r="S44" s="25"/>
      <c r="T44" s="25"/>
      <c r="U44" s="25"/>
      <c r="V44" s="25"/>
      <c r="W44" s="25"/>
      <c r="X44" s="25"/>
      <c r="Y44" s="22">
        <f>(L44+K44)*10%</f>
        <v>7288.0364000000009</v>
      </c>
      <c r="Z44" s="23">
        <v>1</v>
      </c>
      <c r="AA44" s="23">
        <f>4313*Z44</f>
        <v>4313</v>
      </c>
      <c r="AB44" s="22">
        <f>AA44+Y44+X44+W44+S44+R44+Q44+P44+O44+N44+L44+V44+U44+M44+T44</f>
        <v>11601.036400000001</v>
      </c>
      <c r="AC44" s="22">
        <f>AB44+K44</f>
        <v>84481.400399999999</v>
      </c>
      <c r="AD44" s="22">
        <f>AC44-AC44*10%-AA44</f>
        <v>71720.26036</v>
      </c>
      <c r="AE44" s="22">
        <f>AD44*6%</f>
        <v>4303.2156216000003</v>
      </c>
      <c r="AF44" s="22">
        <f>AD44*3.5%</f>
        <v>2510.2091126</v>
      </c>
      <c r="AG44" s="22">
        <f>AC44*3%</f>
        <v>2534.442012</v>
      </c>
      <c r="AH44" s="22">
        <f>K44+L44</f>
        <v>72880.364000000001</v>
      </c>
      <c r="AI44" s="24">
        <f t="shared" si="11"/>
        <v>1013.7768048</v>
      </c>
      <c r="AJ44" s="24">
        <f t="shared" ref="AJ44:AL46" si="40">(AE44/1000)*12</f>
        <v>51.638587459200011</v>
      </c>
      <c r="AK44" s="24">
        <f t="shared" si="40"/>
        <v>30.122509351200002</v>
      </c>
      <c r="AL44" s="24">
        <f t="shared" si="40"/>
        <v>30.413304144000001</v>
      </c>
      <c r="AM44" s="24">
        <f>AH44/1000</f>
        <v>72.880364</v>
      </c>
      <c r="AN44" s="24">
        <f>AM44+AL44+AK44+AJ44+AI44</f>
        <v>1198.8315697544001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2:55" x14ac:dyDescent="0.3">
      <c r="B45" s="15">
        <v>36</v>
      </c>
      <c r="C45" s="18" t="s">
        <v>213</v>
      </c>
      <c r="D45" s="30" t="s">
        <v>90</v>
      </c>
      <c r="E45" s="18" t="s">
        <v>72</v>
      </c>
      <c r="F45" s="18"/>
      <c r="G45" s="18">
        <v>0.5</v>
      </c>
      <c r="H45" s="18" t="s">
        <v>91</v>
      </c>
      <c r="I45" s="18">
        <v>2.84</v>
      </c>
      <c r="J45" s="15">
        <v>17697</v>
      </c>
      <c r="K45" s="22">
        <f>G45*J45*I45*1.45</f>
        <v>36438.122999999992</v>
      </c>
      <c r="L45" s="22"/>
      <c r="M45" s="25"/>
      <c r="N45" s="22"/>
      <c r="O45" s="22"/>
      <c r="P45" s="22"/>
      <c r="Q45" s="22"/>
      <c r="R45" s="24">
        <f>36348/164.92*80/2</f>
        <v>8815.910744603445</v>
      </c>
      <c r="S45" s="25"/>
      <c r="T45" s="25"/>
      <c r="U45" s="25"/>
      <c r="V45" s="25"/>
      <c r="W45" s="24">
        <f>K45/164.92*24/2</f>
        <v>2651.3308028134848</v>
      </c>
      <c r="X45" s="25"/>
      <c r="Y45" s="22">
        <f>(L45+K45)*10%</f>
        <v>3643.8122999999996</v>
      </c>
      <c r="Z45" s="23">
        <v>1</v>
      </c>
      <c r="AA45" s="23">
        <f>4313*Z45</f>
        <v>4313</v>
      </c>
      <c r="AB45" s="22">
        <f>AA45+Y45+X45+W45+S45+R45+Q45+P45+O45+N45+L45+V45+U45+M45+T45</f>
        <v>19424.05384741693</v>
      </c>
      <c r="AC45" s="22">
        <f>AB45+K45</f>
        <v>55862.176847416922</v>
      </c>
      <c r="AD45" s="22">
        <f>AC45-AC45*10%-AA45</f>
        <v>45962.95916267523</v>
      </c>
      <c r="AE45" s="22">
        <f>AD45*6%</f>
        <v>2757.7775497605135</v>
      </c>
      <c r="AF45" s="22">
        <f>AD45*3.5%</f>
        <v>1608.7035706936333</v>
      </c>
      <c r="AG45" s="22">
        <f>AC45*3%</f>
        <v>1675.8653054225076</v>
      </c>
      <c r="AH45" s="22">
        <f>K45+L45</f>
        <v>36438.122999999992</v>
      </c>
      <c r="AI45" s="24">
        <f>(AC45/1000)*12</f>
        <v>670.34612216900302</v>
      </c>
      <c r="AJ45" s="24">
        <f t="shared" si="40"/>
        <v>33.093330597126162</v>
      </c>
      <c r="AK45" s="24">
        <f t="shared" si="40"/>
        <v>19.3044428483236</v>
      </c>
      <c r="AL45" s="24">
        <f t="shared" si="40"/>
        <v>20.110383665070092</v>
      </c>
      <c r="AM45" s="24">
        <f>AH45/1000</f>
        <v>36.43812299999999</v>
      </c>
      <c r="AN45" s="24">
        <f>AM45+AL45+AK45+AJ45+AI45</f>
        <v>779.29240227952289</v>
      </c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</row>
    <row r="46" spans="2:55" x14ac:dyDescent="0.3">
      <c r="B46" s="15">
        <v>37</v>
      </c>
      <c r="C46" s="18" t="s">
        <v>92</v>
      </c>
      <c r="D46" s="30" t="s">
        <v>90</v>
      </c>
      <c r="E46" s="18" t="s">
        <v>72</v>
      </c>
      <c r="F46" s="18"/>
      <c r="G46" s="18">
        <v>0.5</v>
      </c>
      <c r="H46" s="18" t="s">
        <v>91</v>
      </c>
      <c r="I46" s="18">
        <v>2.84</v>
      </c>
      <c r="J46" s="15">
        <v>17697</v>
      </c>
      <c r="K46" s="22">
        <f>G46*J46*I46*1.45</f>
        <v>36438.122999999992</v>
      </c>
      <c r="L46" s="22"/>
      <c r="M46" s="25"/>
      <c r="N46" s="22"/>
      <c r="O46" s="22"/>
      <c r="P46" s="22"/>
      <c r="Q46" s="22"/>
      <c r="R46" s="24">
        <f>36348/164.92*80/2</f>
        <v>8815.910744603445</v>
      </c>
      <c r="S46" s="25"/>
      <c r="T46" s="25"/>
      <c r="U46" s="25"/>
      <c r="V46" s="25"/>
      <c r="W46" s="24">
        <f>K46/164.92*24/2</f>
        <v>2651.3308028134848</v>
      </c>
      <c r="X46" s="25"/>
      <c r="Y46" s="22">
        <f>(L46+K46)*10%</f>
        <v>3643.8122999999996</v>
      </c>
      <c r="Z46" s="23">
        <v>1</v>
      </c>
      <c r="AA46" s="23">
        <f>4313*Z46</f>
        <v>4313</v>
      </c>
      <c r="AB46" s="22">
        <f>AA46+Y46+X46+W46+S46+R46+Q46+P46+O46+N46+L46+V46+U46+M46+T46</f>
        <v>19424.05384741693</v>
      </c>
      <c r="AC46" s="22">
        <f>AB46+K46</f>
        <v>55862.176847416922</v>
      </c>
      <c r="AD46" s="22">
        <f>AC46-AC46*10%-AA46</f>
        <v>45962.95916267523</v>
      </c>
      <c r="AE46" s="22">
        <f>AD46*6%</f>
        <v>2757.7775497605135</v>
      </c>
      <c r="AF46" s="22">
        <f>AD46*3.5%</f>
        <v>1608.7035706936333</v>
      </c>
      <c r="AG46" s="22">
        <f>AC46*3%</f>
        <v>1675.8653054225076</v>
      </c>
      <c r="AH46" s="22">
        <f>K46+L46</f>
        <v>36438.122999999992</v>
      </c>
      <c r="AI46" s="24">
        <f>(AC46/1000)*12</f>
        <v>670.34612216900302</v>
      </c>
      <c r="AJ46" s="24">
        <f t="shared" si="40"/>
        <v>33.093330597126162</v>
      </c>
      <c r="AK46" s="24">
        <f t="shared" si="40"/>
        <v>19.3044428483236</v>
      </c>
      <c r="AL46" s="24">
        <f t="shared" si="40"/>
        <v>20.110383665070092</v>
      </c>
      <c r="AM46" s="24">
        <f>AH46/1000</f>
        <v>36.43812299999999</v>
      </c>
      <c r="AN46" s="24">
        <f>AM46+AL46+AK46+AJ46+AI46</f>
        <v>779.29240227952289</v>
      </c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</row>
    <row r="47" spans="2:55" x14ac:dyDescent="0.3">
      <c r="B47" s="15"/>
      <c r="C47" s="18"/>
      <c r="D47" s="30"/>
      <c r="E47" s="18"/>
      <c r="F47" s="18"/>
      <c r="G47" s="18"/>
      <c r="H47" s="18"/>
      <c r="I47" s="18"/>
      <c r="J47" s="15"/>
      <c r="K47" s="22"/>
      <c r="L47" s="22"/>
      <c r="M47" s="25"/>
      <c r="N47" s="22"/>
      <c r="O47" s="22"/>
      <c r="P47" s="22"/>
      <c r="Q47" s="22"/>
      <c r="R47" s="25"/>
      <c r="S47" s="25"/>
      <c r="T47" s="25"/>
      <c r="U47" s="25"/>
      <c r="V47" s="25"/>
      <c r="W47" s="25"/>
      <c r="X47" s="25"/>
      <c r="Y47" s="22"/>
      <c r="Z47" s="23"/>
      <c r="AA47" s="23"/>
      <c r="AB47" s="22"/>
      <c r="AC47" s="22"/>
      <c r="AD47" s="22"/>
      <c r="AE47" s="22"/>
      <c r="AF47" s="22"/>
      <c r="AG47" s="22"/>
      <c r="AH47" s="22"/>
      <c r="AI47" s="24"/>
      <c r="AJ47" s="24"/>
      <c r="AK47" s="24"/>
      <c r="AL47" s="24"/>
      <c r="AM47" s="24"/>
      <c r="AN47" s="24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</row>
    <row r="48" spans="2:55" x14ac:dyDescent="0.3">
      <c r="B48" s="15"/>
      <c r="C48" s="18"/>
      <c r="D48" s="30"/>
      <c r="E48" s="18"/>
      <c r="F48" s="18"/>
      <c r="G48" s="18"/>
      <c r="H48" s="18"/>
      <c r="I48" s="18"/>
      <c r="J48" s="15"/>
      <c r="K48" s="22"/>
      <c r="L48" s="22"/>
      <c r="M48" s="25"/>
      <c r="N48" s="22"/>
      <c r="O48" s="22"/>
      <c r="P48" s="22"/>
      <c r="Q48" s="22"/>
      <c r="R48" s="25"/>
      <c r="S48" s="25"/>
      <c r="T48" s="25"/>
      <c r="U48" s="25"/>
      <c r="V48" s="25"/>
      <c r="W48" s="25"/>
      <c r="X48" s="25"/>
      <c r="Y48" s="22"/>
      <c r="Z48" s="23"/>
      <c r="AA48" s="23"/>
      <c r="AB48" s="22"/>
      <c r="AC48" s="22"/>
      <c r="AD48" s="22"/>
      <c r="AE48" s="22"/>
      <c r="AF48" s="22"/>
      <c r="AG48" s="22"/>
      <c r="AH48" s="22"/>
      <c r="AI48" s="24"/>
      <c r="AJ48" s="24"/>
      <c r="AK48" s="24"/>
      <c r="AL48" s="24"/>
      <c r="AM48" s="24"/>
      <c r="AN48" s="24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</row>
    <row r="49" spans="2:55" s="9" customFormat="1" ht="14.5" x14ac:dyDescent="0.35">
      <c r="B49" s="36"/>
      <c r="C49" s="37" t="s">
        <v>110</v>
      </c>
      <c r="D49" s="38"/>
      <c r="E49" s="38"/>
      <c r="F49" s="38"/>
      <c r="G49" s="38">
        <f>SUM(G10:G48)</f>
        <v>31.25</v>
      </c>
      <c r="H49" s="38">
        <f t="shared" ref="H49:AN49" si="41">SUM(H10:H48)</f>
        <v>0</v>
      </c>
      <c r="I49" s="38">
        <f t="shared" si="41"/>
        <v>126.37000000000002</v>
      </c>
      <c r="J49" s="38">
        <f t="shared" si="41"/>
        <v>654791</v>
      </c>
      <c r="K49" s="38">
        <f t="shared" si="41"/>
        <v>3194628.5876250006</v>
      </c>
      <c r="L49" s="39">
        <f t="shared" si="41"/>
        <v>436472.08056250005</v>
      </c>
      <c r="M49" s="38">
        <f t="shared" si="41"/>
        <v>0</v>
      </c>
      <c r="N49" s="38">
        <f t="shared" si="41"/>
        <v>2654.5</v>
      </c>
      <c r="O49" s="38">
        <f t="shared" si="41"/>
        <v>9732.25</v>
      </c>
      <c r="P49" s="39">
        <f t="shared" si="41"/>
        <v>7963.5</v>
      </c>
      <c r="Q49" s="38">
        <f t="shared" si="41"/>
        <v>5309</v>
      </c>
      <c r="R49" s="39">
        <f t="shared" si="41"/>
        <v>61425.382731021105</v>
      </c>
      <c r="S49" s="38">
        <f t="shared" si="41"/>
        <v>0</v>
      </c>
      <c r="T49" s="38">
        <f t="shared" si="41"/>
        <v>0</v>
      </c>
      <c r="U49" s="38">
        <f t="shared" si="41"/>
        <v>0</v>
      </c>
      <c r="V49" s="38">
        <f t="shared" si="41"/>
        <v>0</v>
      </c>
      <c r="W49" s="38">
        <f t="shared" si="41"/>
        <v>21098.618360417167</v>
      </c>
      <c r="X49" s="38">
        <f t="shared" si="41"/>
        <v>5309.0999999999995</v>
      </c>
      <c r="Y49" s="38">
        <f t="shared" si="41"/>
        <v>363110.06681874988</v>
      </c>
      <c r="Z49" s="38">
        <f t="shared" si="41"/>
        <v>30</v>
      </c>
      <c r="AA49" s="38">
        <f t="shared" si="41"/>
        <v>129389.5</v>
      </c>
      <c r="AB49" s="39">
        <f t="shared" si="41"/>
        <v>1042463.9984726883</v>
      </c>
      <c r="AC49" s="39">
        <f t="shared" si="41"/>
        <v>4237092.5860976893</v>
      </c>
      <c r="AD49" s="39">
        <f t="shared" si="41"/>
        <v>3683993.8274879213</v>
      </c>
      <c r="AE49" s="39">
        <f t="shared" si="41"/>
        <v>221039.62964927504</v>
      </c>
      <c r="AF49" s="39">
        <f t="shared" si="41"/>
        <v>128939.78396207721</v>
      </c>
      <c r="AG49" s="39">
        <f t="shared" si="41"/>
        <v>127112.77758293063</v>
      </c>
      <c r="AH49" s="39">
        <f t="shared" si="41"/>
        <v>3631100.6681875004</v>
      </c>
      <c r="AI49" s="39">
        <f t="shared" si="41"/>
        <v>50845.111033172259</v>
      </c>
      <c r="AJ49" s="39">
        <f t="shared" si="41"/>
        <v>2652.4755557913027</v>
      </c>
      <c r="AK49" s="39">
        <f t="shared" si="41"/>
        <v>1547.2774075449265</v>
      </c>
      <c r="AL49" s="39">
        <f t="shared" si="41"/>
        <v>1525.3533309951677</v>
      </c>
      <c r="AM49" s="39">
        <f t="shared" si="41"/>
        <v>3631.1006681874997</v>
      </c>
      <c r="AN49" s="38">
        <f t="shared" si="41"/>
        <v>60201.317995691155</v>
      </c>
      <c r="AO49" s="93">
        <f>SUM(AO14:AO48)</f>
        <v>71354.303999999989</v>
      </c>
      <c r="AP49" s="93">
        <f t="shared" ref="AP49:AW49" si="42">SUM(AP14:AP48)</f>
        <v>17838.575999999997</v>
      </c>
      <c r="AQ49" s="93">
        <f t="shared" si="42"/>
        <v>8919.2879999999986</v>
      </c>
      <c r="AR49" s="93">
        <f t="shared" si="42"/>
        <v>98112.167999999991</v>
      </c>
      <c r="AS49" s="93">
        <f t="shared" si="42"/>
        <v>9811.2168000000001</v>
      </c>
      <c r="AT49" s="93">
        <f t="shared" si="42"/>
        <v>8388.5903639999997</v>
      </c>
      <c r="AU49" s="93">
        <f t="shared" si="42"/>
        <v>3090.5332920000001</v>
      </c>
      <c r="AV49" s="93">
        <f t="shared" si="42"/>
        <v>2943.3650399999997</v>
      </c>
      <c r="AW49" s="93">
        <f t="shared" si="42"/>
        <v>89192.87999999999</v>
      </c>
      <c r="AX49" s="93">
        <f t="shared" ref="AX49" si="43">SUM(AX14:AX48)</f>
        <v>392.44867199999999</v>
      </c>
      <c r="AY49" s="93">
        <f t="shared" ref="AY49" si="44">SUM(AY14:AY48)</f>
        <v>0</v>
      </c>
      <c r="AZ49" s="93">
        <f t="shared" ref="AZ49" si="45">SUM(AZ14:AZ48)</f>
        <v>33.554361455999995</v>
      </c>
      <c r="BA49" s="93">
        <f t="shared" ref="BA49" si="46">SUM(BA14:BA48)</f>
        <v>22.958247311999997</v>
      </c>
      <c r="BB49" s="93">
        <f t="shared" ref="BB49" si="47">SUM(BB14:BB48)</f>
        <v>11.773460159999999</v>
      </c>
      <c r="BC49" s="93">
        <f t="shared" ref="BC49" si="48">SUM(BC14:BC48)</f>
        <v>89.192879999999988</v>
      </c>
    </row>
    <row r="50" spans="2:55" s="9" customFormat="1" ht="14.5" x14ac:dyDescent="0.35">
      <c r="B50" s="40"/>
      <c r="C50" s="41"/>
      <c r="D50" s="42"/>
      <c r="E50" s="42"/>
      <c r="F50" s="42"/>
      <c r="G50" s="42"/>
      <c r="H50" s="42"/>
      <c r="I50" s="42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2:55" x14ac:dyDescent="0.3">
      <c r="D51" s="44" t="s">
        <v>285</v>
      </c>
      <c r="E51" s="45"/>
      <c r="F51" s="45" t="s">
        <v>286</v>
      </c>
      <c r="G51" s="7"/>
      <c r="AC51" s="4"/>
      <c r="AI51" s="4"/>
      <c r="AJ51" s="4"/>
      <c r="AK51" s="4"/>
      <c r="AL51" s="4"/>
    </row>
    <row r="52" spans="2:55" x14ac:dyDescent="0.3">
      <c r="D52" s="44"/>
      <c r="E52" s="45"/>
      <c r="F52" s="45"/>
      <c r="G52" s="7"/>
      <c r="AC52" s="4"/>
      <c r="AI52" s="4"/>
      <c r="AJ52" s="4"/>
      <c r="AK52" s="4"/>
      <c r="AL52" s="4"/>
    </row>
    <row r="53" spans="2:55" x14ac:dyDescent="0.3">
      <c r="D53" s="44" t="s">
        <v>113</v>
      </c>
      <c r="E53" s="45"/>
      <c r="F53" s="45" t="s">
        <v>287</v>
      </c>
      <c r="G53" s="7"/>
      <c r="AL53" s="4"/>
      <c r="AN53" s="4"/>
    </row>
  </sheetData>
  <mergeCells count="50">
    <mergeCell ref="AZ8:AZ9"/>
    <mergeCell ref="BA8:BA9"/>
    <mergeCell ref="BB8:BB9"/>
    <mergeCell ref="BC8:BC9"/>
    <mergeCell ref="AX7:BC7"/>
    <mergeCell ref="AX8:AX9"/>
    <mergeCell ref="AO7:AW7"/>
    <mergeCell ref="AU8:AU9"/>
    <mergeCell ref="AV8:AV9"/>
    <mergeCell ref="AW8:AW9"/>
    <mergeCell ref="B7:B9"/>
    <mergeCell ref="AO8:AO9"/>
    <mergeCell ref="AT8:AT9"/>
    <mergeCell ref="H7:H9"/>
    <mergeCell ref="C7:C9"/>
    <mergeCell ref="D7:D9"/>
    <mergeCell ref="E7:E9"/>
    <mergeCell ref="F7:F9"/>
    <mergeCell ref="G7:G9"/>
    <mergeCell ref="U7:U9"/>
    <mergeCell ref="I7:I9"/>
    <mergeCell ref="J7:J9"/>
    <mergeCell ref="K7:K9"/>
    <mergeCell ref="L7:L8"/>
    <mergeCell ref="M7:M9"/>
    <mergeCell ref="N7:N8"/>
    <mergeCell ref="O7:P8"/>
    <mergeCell ref="Q7:Q9"/>
    <mergeCell ref="R7:R9"/>
    <mergeCell ref="S7:S9"/>
    <mergeCell ref="T7:T9"/>
    <mergeCell ref="AH7:AH9"/>
    <mergeCell ref="V7:V9"/>
    <mergeCell ref="W7:W9"/>
    <mergeCell ref="X7:X9"/>
    <mergeCell ref="Y7:Y8"/>
    <mergeCell ref="Z7:AA8"/>
    <mergeCell ref="AB7:AB9"/>
    <mergeCell ref="AC7:AC9"/>
    <mergeCell ref="AD7:AD9"/>
    <mergeCell ref="AE7:AE9"/>
    <mergeCell ref="AF7:AF9"/>
    <mergeCell ref="AG7:AG9"/>
    <mergeCell ref="AI7:AN7"/>
    <mergeCell ref="AI8:AI9"/>
    <mergeCell ref="AJ8:AJ9"/>
    <mergeCell ref="AK8:AK9"/>
    <mergeCell ref="AL8:AL9"/>
    <mergeCell ref="AM8:AM9"/>
    <mergeCell ref="AN8:AN9"/>
  </mergeCells>
  <pageMargins left="0.31496062992125984" right="0" top="0" bottom="0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opLeftCell="A10" workbookViewId="0">
      <selection activeCell="C8" sqref="C8"/>
    </sheetView>
  </sheetViews>
  <sheetFormatPr defaultColWidth="9.1796875" defaultRowHeight="13" x14ac:dyDescent="0.3"/>
  <cols>
    <col min="1" max="1" width="9.1796875" style="1"/>
    <col min="2" max="2" width="3.7265625" style="1" customWidth="1"/>
    <col min="3" max="3" width="21.54296875" style="1" customWidth="1"/>
    <col min="4" max="4" width="21.7265625" style="8" customWidth="1"/>
    <col min="5" max="5" width="12.1796875" style="1" customWidth="1"/>
    <col min="6" max="6" width="7.453125" style="1" customWidth="1"/>
    <col min="7" max="7" width="6.7265625" style="1" customWidth="1"/>
    <col min="8" max="8" width="7.54296875" style="1" customWidth="1"/>
    <col min="9" max="9" width="5" style="1" customWidth="1"/>
    <col min="10" max="10" width="7.81640625" style="1" customWidth="1"/>
    <col min="11" max="12" width="8.54296875" style="1" customWidth="1"/>
    <col min="13" max="13" width="5" style="1" customWidth="1"/>
    <col min="14" max="14" width="6" style="1" customWidth="1"/>
    <col min="15" max="15" width="5.81640625" style="1" customWidth="1"/>
    <col min="16" max="16" width="6.54296875" style="1" customWidth="1"/>
    <col min="17" max="17" width="6.7265625" style="1" customWidth="1"/>
    <col min="18" max="18" width="7.54296875" style="1" customWidth="1"/>
    <col min="19" max="19" width="0.26953125" style="1" customWidth="1"/>
    <col min="20" max="20" width="5.1796875" style="1" customWidth="1"/>
    <col min="21" max="21" width="4.54296875" style="1" customWidth="1"/>
    <col min="22" max="22" width="5.1796875" style="1" customWidth="1"/>
    <col min="23" max="23" width="6" style="1" customWidth="1"/>
    <col min="24" max="24" width="5.54296875" style="1" customWidth="1"/>
    <col min="25" max="25" width="7.81640625" style="1" customWidth="1"/>
    <col min="26" max="26" width="4.1796875" style="1" customWidth="1"/>
    <col min="27" max="27" width="7.54296875" style="1" customWidth="1"/>
    <col min="28" max="28" width="9.26953125" style="1" bestFit="1" customWidth="1"/>
    <col min="29" max="29" width="9.7265625" style="1" customWidth="1"/>
    <col min="30" max="30" width="0.81640625" style="1" customWidth="1"/>
    <col min="31" max="31" width="8.453125" style="1" customWidth="1"/>
    <col min="32" max="32" width="7.1796875" style="1" customWidth="1"/>
    <col min="33" max="33" width="8.453125" style="1" customWidth="1"/>
    <col min="34" max="34" width="8.1796875" style="1" customWidth="1"/>
    <col min="35" max="40" width="6.1796875" style="1" customWidth="1"/>
    <col min="41" max="16384" width="9.1796875" style="1"/>
  </cols>
  <sheetData>
    <row r="1" spans="1:40" ht="14" x14ac:dyDescent="0.3">
      <c r="C1" s="2" t="s">
        <v>0</v>
      </c>
      <c r="D1" s="3"/>
      <c r="L1" s="4"/>
      <c r="O1" s="4"/>
      <c r="P1" s="4"/>
    </row>
    <row r="2" spans="1:40" ht="14" x14ac:dyDescent="0.3">
      <c r="C2" s="5" t="s">
        <v>1</v>
      </c>
      <c r="D2" s="6"/>
      <c r="E2" s="7"/>
    </row>
    <row r="3" spans="1:40" x14ac:dyDescent="0.3">
      <c r="E3" s="9" t="s">
        <v>229</v>
      </c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40" x14ac:dyDescent="0.3"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40" s="12" customFormat="1" ht="29.5" customHeight="1" x14ac:dyDescent="0.35">
      <c r="B5" s="11" t="s">
        <v>2</v>
      </c>
      <c r="C5" s="178" t="s">
        <v>3</v>
      </c>
      <c r="D5" s="167" t="s">
        <v>4</v>
      </c>
      <c r="E5" s="167" t="s">
        <v>5</v>
      </c>
      <c r="F5" s="167" t="s">
        <v>6</v>
      </c>
      <c r="G5" s="167" t="s">
        <v>7</v>
      </c>
      <c r="H5" s="164" t="s">
        <v>8</v>
      </c>
      <c r="I5" s="164" t="s">
        <v>9</v>
      </c>
      <c r="J5" s="167" t="s">
        <v>10</v>
      </c>
      <c r="K5" s="167" t="s">
        <v>11</v>
      </c>
      <c r="L5" s="167" t="s">
        <v>12</v>
      </c>
      <c r="M5" s="167" t="s">
        <v>13</v>
      </c>
      <c r="N5" s="167" t="s">
        <v>14</v>
      </c>
      <c r="O5" s="171" t="s">
        <v>15</v>
      </c>
      <c r="P5" s="172"/>
      <c r="Q5" s="170" t="s">
        <v>16</v>
      </c>
      <c r="R5" s="170" t="s">
        <v>17</v>
      </c>
      <c r="S5" s="170" t="s">
        <v>18</v>
      </c>
      <c r="T5" s="167" t="s">
        <v>19</v>
      </c>
      <c r="U5" s="167" t="s">
        <v>20</v>
      </c>
      <c r="V5" s="167" t="s">
        <v>21</v>
      </c>
      <c r="W5" s="170" t="s">
        <v>22</v>
      </c>
      <c r="X5" s="170" t="s">
        <v>23</v>
      </c>
      <c r="Y5" s="167" t="s">
        <v>24</v>
      </c>
      <c r="Z5" s="171" t="s">
        <v>25</v>
      </c>
      <c r="AA5" s="172"/>
      <c r="AB5" s="167" t="s">
        <v>26</v>
      </c>
      <c r="AC5" s="167" t="s">
        <v>27</v>
      </c>
      <c r="AD5" s="175"/>
      <c r="AE5" s="167" t="s">
        <v>28</v>
      </c>
      <c r="AF5" s="167" t="s">
        <v>29</v>
      </c>
      <c r="AG5" s="167" t="s">
        <v>30</v>
      </c>
      <c r="AH5" s="167" t="s">
        <v>31</v>
      </c>
      <c r="AI5" s="149" t="s">
        <v>32</v>
      </c>
      <c r="AJ5" s="150"/>
      <c r="AK5" s="150"/>
      <c r="AL5" s="150"/>
      <c r="AM5" s="150"/>
      <c r="AN5" s="151"/>
    </row>
    <row r="6" spans="1:40" s="12" customFormat="1" ht="119.25" customHeight="1" x14ac:dyDescent="0.35">
      <c r="B6" s="11"/>
      <c r="C6" s="179"/>
      <c r="D6" s="168"/>
      <c r="E6" s="168"/>
      <c r="F6" s="168"/>
      <c r="G6" s="168"/>
      <c r="H6" s="165"/>
      <c r="I6" s="165"/>
      <c r="J6" s="168"/>
      <c r="K6" s="168"/>
      <c r="L6" s="169"/>
      <c r="M6" s="168"/>
      <c r="N6" s="169"/>
      <c r="O6" s="173"/>
      <c r="P6" s="174"/>
      <c r="Q6" s="170"/>
      <c r="R6" s="170"/>
      <c r="S6" s="170"/>
      <c r="T6" s="168"/>
      <c r="U6" s="168"/>
      <c r="V6" s="168"/>
      <c r="W6" s="170"/>
      <c r="X6" s="170"/>
      <c r="Y6" s="169"/>
      <c r="Z6" s="173"/>
      <c r="AA6" s="174"/>
      <c r="AB6" s="168"/>
      <c r="AC6" s="168"/>
      <c r="AD6" s="176"/>
      <c r="AE6" s="168"/>
      <c r="AF6" s="168"/>
      <c r="AG6" s="168"/>
      <c r="AH6" s="168"/>
      <c r="AI6" s="152" t="s">
        <v>27</v>
      </c>
      <c r="AJ6" s="152" t="s">
        <v>28</v>
      </c>
      <c r="AK6" s="152" t="s">
        <v>29</v>
      </c>
      <c r="AL6" s="152" t="s">
        <v>30</v>
      </c>
      <c r="AM6" s="152" t="s">
        <v>31</v>
      </c>
      <c r="AN6" s="152" t="s">
        <v>33</v>
      </c>
    </row>
    <row r="7" spans="1:40" s="12" customFormat="1" ht="111.65" customHeight="1" x14ac:dyDescent="0.35">
      <c r="B7" s="11"/>
      <c r="C7" s="180"/>
      <c r="D7" s="169"/>
      <c r="E7" s="169"/>
      <c r="F7" s="169"/>
      <c r="G7" s="169"/>
      <c r="H7" s="166"/>
      <c r="I7" s="166"/>
      <c r="J7" s="169"/>
      <c r="K7" s="169"/>
      <c r="L7" s="13">
        <v>0.25</v>
      </c>
      <c r="M7" s="169"/>
      <c r="N7" s="13">
        <v>0.3</v>
      </c>
      <c r="O7" s="14">
        <v>0.2</v>
      </c>
      <c r="P7" s="14">
        <v>0.3</v>
      </c>
      <c r="Q7" s="170"/>
      <c r="R7" s="170"/>
      <c r="S7" s="170"/>
      <c r="T7" s="169"/>
      <c r="U7" s="169"/>
      <c r="V7" s="169"/>
      <c r="W7" s="170"/>
      <c r="X7" s="170"/>
      <c r="Y7" s="13">
        <v>0.1</v>
      </c>
      <c r="Z7" s="13" t="s">
        <v>34</v>
      </c>
      <c r="AA7" s="11" t="s">
        <v>35</v>
      </c>
      <c r="AB7" s="169"/>
      <c r="AC7" s="169"/>
      <c r="AD7" s="177"/>
      <c r="AE7" s="169"/>
      <c r="AF7" s="169"/>
      <c r="AG7" s="169"/>
      <c r="AH7" s="169"/>
      <c r="AI7" s="153"/>
      <c r="AJ7" s="153"/>
      <c r="AK7" s="153"/>
      <c r="AL7" s="153"/>
      <c r="AM7" s="153"/>
      <c r="AN7" s="153"/>
    </row>
    <row r="8" spans="1:40" ht="12.75" customHeight="1" x14ac:dyDescent="0.3">
      <c r="B8" s="15">
        <v>1</v>
      </c>
      <c r="C8" s="16" t="s">
        <v>214</v>
      </c>
      <c r="D8" s="17" t="s">
        <v>36</v>
      </c>
      <c r="E8" s="18" t="s">
        <v>37</v>
      </c>
      <c r="F8" s="19" t="s">
        <v>225</v>
      </c>
      <c r="G8" s="18">
        <v>1</v>
      </c>
      <c r="H8" s="20" t="s">
        <v>38</v>
      </c>
      <c r="I8" s="21">
        <v>5.59</v>
      </c>
      <c r="J8" s="15">
        <v>17697</v>
      </c>
      <c r="K8" s="22">
        <f>G8*J8*I8*2</f>
        <v>197852.46</v>
      </c>
      <c r="L8" s="22">
        <f>K8*25%</f>
        <v>49463.114999999998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>
        <f>(L8+K8)*10%</f>
        <v>24731.557499999999</v>
      </c>
      <c r="Z8" s="23"/>
      <c r="AA8" s="23">
        <f>3975*Z8</f>
        <v>0</v>
      </c>
      <c r="AB8" s="22">
        <f>AA8+Y8+X8+W8+S8+R8+Q8+P8+O8+N8+L8+V8+U8+M8+T8</f>
        <v>74194.672500000001</v>
      </c>
      <c r="AC8" s="22">
        <f t="shared" ref="AC8:AC42" si="0">AB8+K8</f>
        <v>272047.13250000001</v>
      </c>
      <c r="AD8" s="22">
        <f>AC8-AC8*10%-AA8</f>
        <v>244842.41925000001</v>
      </c>
      <c r="AE8" s="22">
        <f>AD8*6%</f>
        <v>14690.545155</v>
      </c>
      <c r="AF8" s="22">
        <f>AD8*3.5%</f>
        <v>8569.4846737500011</v>
      </c>
      <c r="AG8" s="22">
        <f t="shared" ref="AG8:AG42" si="1">AC8*3%</f>
        <v>8161.4139749999995</v>
      </c>
      <c r="AH8" s="22">
        <f>K8+L8</f>
        <v>247315.57499999998</v>
      </c>
      <c r="AI8" s="24">
        <f>(AC8/1000)*12</f>
        <v>3264.5655900000002</v>
      </c>
      <c r="AJ8" s="24">
        <f>(AE8/1000)*12</f>
        <v>176.28654186</v>
      </c>
      <c r="AK8" s="24">
        <f>(AF8/1000)*12</f>
        <v>102.83381608500001</v>
      </c>
      <c r="AL8" s="24">
        <f>(AG8/1000)*12</f>
        <v>97.936967699999997</v>
      </c>
      <c r="AM8" s="24">
        <f t="shared" ref="AM8:AM42" si="2">AH8/1000</f>
        <v>247.315575</v>
      </c>
      <c r="AN8" s="24">
        <f>AM8+AL8+AK8+AJ8+AI8</f>
        <v>3888.9384906450005</v>
      </c>
    </row>
    <row r="9" spans="1:40" ht="23.5" x14ac:dyDescent="0.3">
      <c r="B9" s="15">
        <v>2</v>
      </c>
      <c r="C9" s="16" t="s">
        <v>39</v>
      </c>
      <c r="D9" s="17" t="s">
        <v>40</v>
      </c>
      <c r="E9" s="18" t="s">
        <v>37</v>
      </c>
      <c r="F9" s="19">
        <v>29.7</v>
      </c>
      <c r="G9" s="18">
        <v>1</v>
      </c>
      <c r="H9" s="20" t="s">
        <v>41</v>
      </c>
      <c r="I9" s="21">
        <v>5.62</v>
      </c>
      <c r="J9" s="15">
        <v>17697</v>
      </c>
      <c r="K9" s="22">
        <f t="shared" ref="K9:K16" si="3">G9*J9*I9*2</f>
        <v>198914.28</v>
      </c>
      <c r="L9" s="22">
        <f t="shared" ref="L9:L16" si="4">K9*25%</f>
        <v>49728.57</v>
      </c>
      <c r="M9" s="25"/>
      <c r="N9" s="22"/>
      <c r="O9" s="22"/>
      <c r="P9" s="22"/>
      <c r="Q9" s="22"/>
      <c r="R9" s="25"/>
      <c r="S9" s="25"/>
      <c r="T9" s="25"/>
      <c r="U9" s="25"/>
      <c r="V9" s="25"/>
      <c r="W9" s="25"/>
      <c r="X9" s="25"/>
      <c r="Y9" s="22">
        <f t="shared" ref="Y9:Y41" si="5">(L9+K9)*10%</f>
        <v>24864.285000000003</v>
      </c>
      <c r="Z9" s="26">
        <v>1</v>
      </c>
      <c r="AA9" s="23">
        <f>3450*1.25</f>
        <v>4312.5</v>
      </c>
      <c r="AB9" s="22">
        <f t="shared" ref="AB9:AB42" si="6">AA9+Y9+X9+W9+S9+R9+Q9+P9+O9+N9+L9+V9+U9+M9+T9</f>
        <v>78905.35500000001</v>
      </c>
      <c r="AC9" s="22">
        <f t="shared" si="0"/>
        <v>277819.63500000001</v>
      </c>
      <c r="AD9" s="22">
        <f t="shared" ref="AD9:AD42" si="7">AC9-AC9*10%-AA9</f>
        <v>245725.1715</v>
      </c>
      <c r="AE9" s="22">
        <f t="shared" ref="AE9:AE42" si="8">AD9*6%</f>
        <v>14743.510289999998</v>
      </c>
      <c r="AF9" s="22">
        <f t="shared" ref="AF9:AF42" si="9">AD9*3.5%</f>
        <v>8600.3810025000002</v>
      </c>
      <c r="AG9" s="22">
        <f t="shared" si="1"/>
        <v>8334.5890500000005</v>
      </c>
      <c r="AH9" s="22">
        <f t="shared" ref="AH9:AH42" si="10">K9+L9</f>
        <v>248642.85</v>
      </c>
      <c r="AI9" s="24">
        <f t="shared" ref="AI9:AI43" si="11">(AC9/1000)*12</f>
        <v>3333.8356199999998</v>
      </c>
      <c r="AJ9" s="24">
        <f t="shared" ref="AJ9:AL24" si="12">(AE9/1000)*12</f>
        <v>176.92212347999998</v>
      </c>
      <c r="AK9" s="24">
        <f t="shared" si="12"/>
        <v>103.20457203000001</v>
      </c>
      <c r="AL9" s="24">
        <f t="shared" si="12"/>
        <v>100.01506860000001</v>
      </c>
      <c r="AM9" s="24">
        <f t="shared" si="2"/>
        <v>248.64285000000001</v>
      </c>
      <c r="AN9" s="24">
        <f t="shared" ref="AN9:AN42" si="13">AM9+AL9+AK9+AJ9+AI9</f>
        <v>3962.6202341099997</v>
      </c>
    </row>
    <row r="10" spans="1:40" x14ac:dyDescent="0.3">
      <c r="B10" s="15">
        <v>3</v>
      </c>
      <c r="C10" s="16" t="s">
        <v>42</v>
      </c>
      <c r="D10" s="17" t="s">
        <v>43</v>
      </c>
      <c r="E10" s="18" t="s">
        <v>37</v>
      </c>
      <c r="F10" s="19">
        <v>25.05</v>
      </c>
      <c r="G10" s="18">
        <v>1</v>
      </c>
      <c r="H10" s="20" t="s">
        <v>41</v>
      </c>
      <c r="I10" s="21">
        <v>5.62</v>
      </c>
      <c r="J10" s="15">
        <v>17697</v>
      </c>
      <c r="K10" s="22">
        <f t="shared" si="3"/>
        <v>198914.28</v>
      </c>
      <c r="L10" s="22">
        <f t="shared" si="4"/>
        <v>49728.57</v>
      </c>
      <c r="M10" s="25"/>
      <c r="N10" s="22"/>
      <c r="O10" s="22"/>
      <c r="P10" s="22"/>
      <c r="Q10" s="22"/>
      <c r="R10" s="25"/>
      <c r="S10" s="25"/>
      <c r="T10" s="25"/>
      <c r="U10" s="25"/>
      <c r="V10" s="25"/>
      <c r="W10" s="25"/>
      <c r="X10" s="25"/>
      <c r="Y10" s="22">
        <f t="shared" si="5"/>
        <v>24864.285000000003</v>
      </c>
      <c r="Z10" s="23">
        <v>1</v>
      </c>
      <c r="AA10" s="23">
        <f t="shared" ref="AA10:AA17" si="14">4313*Z10</f>
        <v>4313</v>
      </c>
      <c r="AB10" s="22">
        <f t="shared" si="6"/>
        <v>78905.85500000001</v>
      </c>
      <c r="AC10" s="22">
        <f t="shared" si="0"/>
        <v>277820.13500000001</v>
      </c>
      <c r="AD10" s="22">
        <f t="shared" si="7"/>
        <v>245725.12150000001</v>
      </c>
      <c r="AE10" s="22">
        <f t="shared" si="8"/>
        <v>14743.50729</v>
      </c>
      <c r="AF10" s="22">
        <f t="shared" si="9"/>
        <v>8600.3792525000008</v>
      </c>
      <c r="AG10" s="22">
        <f t="shared" si="1"/>
        <v>8334.6040499999999</v>
      </c>
      <c r="AH10" s="22">
        <f t="shared" si="10"/>
        <v>248642.85</v>
      </c>
      <c r="AI10" s="24">
        <f t="shared" si="11"/>
        <v>3333.8416200000001</v>
      </c>
      <c r="AJ10" s="24">
        <f t="shared" si="12"/>
        <v>176.92208748000002</v>
      </c>
      <c r="AK10" s="24">
        <f t="shared" si="12"/>
        <v>103.20455103000002</v>
      </c>
      <c r="AL10" s="24">
        <f t="shared" si="12"/>
        <v>100.01524859999999</v>
      </c>
      <c r="AM10" s="24">
        <f t="shared" si="2"/>
        <v>248.64285000000001</v>
      </c>
      <c r="AN10" s="24">
        <f t="shared" si="13"/>
        <v>3962.6263571100003</v>
      </c>
    </row>
    <row r="11" spans="1:40" x14ac:dyDescent="0.3">
      <c r="B11" s="15">
        <v>4</v>
      </c>
      <c r="C11" s="27" t="s">
        <v>44</v>
      </c>
      <c r="D11" s="28" t="s">
        <v>45</v>
      </c>
      <c r="E11" s="18" t="s">
        <v>37</v>
      </c>
      <c r="F11" s="19" t="s">
        <v>215</v>
      </c>
      <c r="G11" s="18">
        <v>1</v>
      </c>
      <c r="H11" s="20" t="s">
        <v>46</v>
      </c>
      <c r="I11" s="18">
        <v>4.8600000000000003</v>
      </c>
      <c r="J11" s="15">
        <v>17697</v>
      </c>
      <c r="K11" s="22">
        <f t="shared" si="3"/>
        <v>172014.84000000003</v>
      </c>
      <c r="L11" s="22">
        <f>K11*25%</f>
        <v>43003.710000000006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>
        <f>(L11+K11)*10%</f>
        <v>21501.855000000007</v>
      </c>
      <c r="Z11" s="23">
        <v>1</v>
      </c>
      <c r="AA11" s="23">
        <f t="shared" si="14"/>
        <v>4313</v>
      </c>
      <c r="AB11" s="22">
        <f>AA11+Y11+X11+W11+S11+R11+Q11+P11+O11+N11+L11+V11+U11+M11+T11</f>
        <v>68818.565000000017</v>
      </c>
      <c r="AC11" s="22">
        <f>AB11+K11</f>
        <v>240833.40500000003</v>
      </c>
      <c r="AD11" s="22">
        <f>AC11-AC11*10%-AA11</f>
        <v>212437.06450000004</v>
      </c>
      <c r="AE11" s="22">
        <f>AD11*6%</f>
        <v>12746.223870000002</v>
      </c>
      <c r="AF11" s="22">
        <f>AD11*3.5%</f>
        <v>7435.2972575000022</v>
      </c>
      <c r="AG11" s="22">
        <f>AC11*3%</f>
        <v>7225.0021500000003</v>
      </c>
      <c r="AH11" s="22">
        <f>K11+L11</f>
        <v>215018.55000000005</v>
      </c>
      <c r="AI11" s="24">
        <f t="shared" si="11"/>
        <v>2890.0008600000001</v>
      </c>
      <c r="AJ11" s="24">
        <f>(AE11/1000)*12</f>
        <v>152.95468644000002</v>
      </c>
      <c r="AK11" s="24">
        <f>(AF11/1000)*12</f>
        <v>89.223567090000017</v>
      </c>
      <c r="AL11" s="24">
        <f>(AG11/1000)*12</f>
        <v>86.700025799999992</v>
      </c>
      <c r="AM11" s="24">
        <f>AH11/1000</f>
        <v>215.01855000000003</v>
      </c>
      <c r="AN11" s="24">
        <f>AM11+AL11+AK11+AJ11+AI11</f>
        <v>3433.89768933</v>
      </c>
    </row>
    <row r="12" spans="1:40" x14ac:dyDescent="0.3">
      <c r="B12" s="15">
        <v>5</v>
      </c>
      <c r="C12" s="18" t="s">
        <v>47</v>
      </c>
      <c r="D12" s="29" t="s">
        <v>48</v>
      </c>
      <c r="E12" s="18" t="s">
        <v>49</v>
      </c>
      <c r="F12" s="19" t="s">
        <v>216</v>
      </c>
      <c r="G12" s="18">
        <v>1</v>
      </c>
      <c r="H12" s="20" t="s">
        <v>50</v>
      </c>
      <c r="I12" s="18">
        <v>3.36</v>
      </c>
      <c r="J12" s="15">
        <v>17697</v>
      </c>
      <c r="K12" s="22">
        <f t="shared" si="3"/>
        <v>118923.84</v>
      </c>
      <c r="L12" s="22">
        <f t="shared" si="4"/>
        <v>29730.959999999999</v>
      </c>
      <c r="M12" s="25"/>
      <c r="N12" s="22"/>
      <c r="O12" s="22"/>
      <c r="P12" s="22"/>
      <c r="Q12" s="22"/>
      <c r="R12" s="25"/>
      <c r="S12" s="25"/>
      <c r="T12" s="25"/>
      <c r="U12" s="25"/>
      <c r="V12" s="25"/>
      <c r="W12" s="22"/>
      <c r="X12" s="25"/>
      <c r="Y12" s="22">
        <f t="shared" si="5"/>
        <v>14865.48</v>
      </c>
      <c r="Z12" s="26">
        <v>1</v>
      </c>
      <c r="AA12" s="23">
        <f t="shared" si="14"/>
        <v>4313</v>
      </c>
      <c r="AB12" s="22">
        <f t="shared" si="6"/>
        <v>48909.440000000002</v>
      </c>
      <c r="AC12" s="22">
        <f t="shared" si="0"/>
        <v>167833.28</v>
      </c>
      <c r="AD12" s="22">
        <f t="shared" si="7"/>
        <v>146736.95199999999</v>
      </c>
      <c r="AE12" s="22">
        <f t="shared" si="8"/>
        <v>8804.2171199999993</v>
      </c>
      <c r="AF12" s="22">
        <f t="shared" si="9"/>
        <v>5135.7933199999998</v>
      </c>
      <c r="AG12" s="22">
        <f t="shared" si="1"/>
        <v>5034.9983999999995</v>
      </c>
      <c r="AH12" s="22">
        <f t="shared" si="10"/>
        <v>148654.79999999999</v>
      </c>
      <c r="AI12" s="24">
        <f t="shared" si="11"/>
        <v>2013.99936</v>
      </c>
      <c r="AJ12" s="24">
        <f t="shared" si="12"/>
        <v>105.65060543999999</v>
      </c>
      <c r="AK12" s="24">
        <f t="shared" si="12"/>
        <v>61.629519839999993</v>
      </c>
      <c r="AL12" s="24">
        <f t="shared" si="12"/>
        <v>60.41998079999999</v>
      </c>
      <c r="AM12" s="24">
        <f t="shared" si="2"/>
        <v>148.65479999999999</v>
      </c>
      <c r="AN12" s="24">
        <f t="shared" si="13"/>
        <v>2390.3542660799999</v>
      </c>
    </row>
    <row r="13" spans="1:40" ht="14" x14ac:dyDescent="0.3">
      <c r="B13" s="15">
        <v>6</v>
      </c>
      <c r="C13" s="27" t="s">
        <v>51</v>
      </c>
      <c r="D13" s="30" t="s">
        <v>52</v>
      </c>
      <c r="E13" s="18" t="s">
        <v>49</v>
      </c>
      <c r="F13" s="19" t="s">
        <v>217</v>
      </c>
      <c r="G13" s="18">
        <v>1.5</v>
      </c>
      <c r="H13" s="20" t="s">
        <v>53</v>
      </c>
      <c r="I13" s="21">
        <v>3.49</v>
      </c>
      <c r="J13" s="15">
        <v>17697</v>
      </c>
      <c r="K13" s="22">
        <f t="shared" si="3"/>
        <v>185287.59000000003</v>
      </c>
      <c r="L13" s="22">
        <f t="shared" si="4"/>
        <v>46321.897500000006</v>
      </c>
      <c r="M13" s="22"/>
      <c r="N13" s="22"/>
      <c r="O13" s="22"/>
      <c r="P13" s="22"/>
      <c r="Q13" s="22"/>
      <c r="R13" s="31"/>
      <c r="S13" s="22"/>
      <c r="T13" s="22"/>
      <c r="U13" s="22"/>
      <c r="V13" s="22"/>
      <c r="W13" s="22"/>
      <c r="X13" s="22"/>
      <c r="Y13" s="22">
        <f t="shared" si="5"/>
        <v>23160.948750000007</v>
      </c>
      <c r="Z13" s="31">
        <v>1</v>
      </c>
      <c r="AA13" s="23">
        <f t="shared" si="14"/>
        <v>4313</v>
      </c>
      <c r="AB13" s="22">
        <f t="shared" si="6"/>
        <v>73795.846250000017</v>
      </c>
      <c r="AC13" s="22">
        <f t="shared" si="0"/>
        <v>259083.43625000003</v>
      </c>
      <c r="AD13" s="22">
        <f t="shared" si="7"/>
        <v>228862.09262500002</v>
      </c>
      <c r="AE13" s="22">
        <f t="shared" si="8"/>
        <v>13731.7255575</v>
      </c>
      <c r="AF13" s="22">
        <f t="shared" si="9"/>
        <v>8010.1732418750016</v>
      </c>
      <c r="AG13" s="22">
        <f t="shared" si="1"/>
        <v>7772.5030875000002</v>
      </c>
      <c r="AH13" s="22">
        <f t="shared" si="10"/>
        <v>231609.48750000005</v>
      </c>
      <c r="AI13" s="24">
        <f t="shared" si="11"/>
        <v>3109.0012350000006</v>
      </c>
      <c r="AJ13" s="24">
        <f t="shared" si="12"/>
        <v>164.78070669000002</v>
      </c>
      <c r="AK13" s="24">
        <f t="shared" si="12"/>
        <v>96.122078902500022</v>
      </c>
      <c r="AL13" s="24">
        <f t="shared" si="12"/>
        <v>93.270037050000013</v>
      </c>
      <c r="AM13" s="24">
        <f t="shared" si="2"/>
        <v>231.60948750000006</v>
      </c>
      <c r="AN13" s="24">
        <f t="shared" si="13"/>
        <v>3694.7835451425008</v>
      </c>
    </row>
    <row r="14" spans="1:40" ht="23" x14ac:dyDescent="0.3">
      <c r="B14" s="15">
        <v>7</v>
      </c>
      <c r="C14" s="32" t="s">
        <v>54</v>
      </c>
      <c r="D14" s="33" t="s">
        <v>55</v>
      </c>
      <c r="E14" s="18" t="s">
        <v>49</v>
      </c>
      <c r="F14" s="19" t="s">
        <v>218</v>
      </c>
      <c r="G14" s="18">
        <v>1</v>
      </c>
      <c r="H14" s="20" t="s">
        <v>56</v>
      </c>
      <c r="I14" s="18">
        <v>3.49</v>
      </c>
      <c r="J14" s="15">
        <v>17697</v>
      </c>
      <c r="K14" s="22">
        <f t="shared" si="3"/>
        <v>123525.06000000001</v>
      </c>
      <c r="L14" s="22">
        <f t="shared" si="4"/>
        <v>30881.265000000003</v>
      </c>
      <c r="M14" s="25"/>
      <c r="N14" s="22"/>
      <c r="O14" s="22"/>
      <c r="P14" s="22"/>
      <c r="Q14" s="22"/>
      <c r="R14" s="25"/>
      <c r="S14" s="25"/>
      <c r="T14" s="25"/>
      <c r="U14" s="25"/>
      <c r="V14" s="25"/>
      <c r="W14" s="25"/>
      <c r="X14" s="25"/>
      <c r="Y14" s="22">
        <f t="shared" si="5"/>
        <v>15440.632500000002</v>
      </c>
      <c r="Z14" s="26">
        <v>1</v>
      </c>
      <c r="AA14" s="23">
        <f t="shared" si="14"/>
        <v>4313</v>
      </c>
      <c r="AB14" s="22">
        <f t="shared" si="6"/>
        <v>50634.897500000006</v>
      </c>
      <c r="AC14" s="22">
        <f t="shared" si="0"/>
        <v>174159.95750000002</v>
      </c>
      <c r="AD14" s="22">
        <f t="shared" si="7"/>
        <v>152430.96175000002</v>
      </c>
      <c r="AE14" s="22">
        <f t="shared" si="8"/>
        <v>9145.8577050000004</v>
      </c>
      <c r="AF14" s="22">
        <f t="shared" si="9"/>
        <v>5335.0836612500007</v>
      </c>
      <c r="AG14" s="22">
        <f t="shared" si="1"/>
        <v>5224.7987250000006</v>
      </c>
      <c r="AH14" s="22">
        <f t="shared" si="10"/>
        <v>154406.32500000001</v>
      </c>
      <c r="AI14" s="24">
        <f t="shared" si="11"/>
        <v>2089.9194900000002</v>
      </c>
      <c r="AJ14" s="24">
        <f t="shared" si="12"/>
        <v>109.75029246000001</v>
      </c>
      <c r="AK14" s="24">
        <f t="shared" si="12"/>
        <v>64.02100393500001</v>
      </c>
      <c r="AL14" s="24">
        <f t="shared" si="12"/>
        <v>62.697584700000007</v>
      </c>
      <c r="AM14" s="24">
        <f t="shared" si="2"/>
        <v>154.40632500000001</v>
      </c>
      <c r="AN14" s="24">
        <f t="shared" si="13"/>
        <v>2480.7946960950003</v>
      </c>
    </row>
    <row r="15" spans="1:40" x14ac:dyDescent="0.3">
      <c r="B15" s="15"/>
      <c r="C15" s="32" t="s">
        <v>161</v>
      </c>
      <c r="D15" s="30" t="s">
        <v>57</v>
      </c>
      <c r="E15" s="18" t="s">
        <v>37</v>
      </c>
      <c r="F15" s="19" t="s">
        <v>210</v>
      </c>
      <c r="G15" s="18">
        <v>0.5</v>
      </c>
      <c r="H15" s="20" t="s">
        <v>227</v>
      </c>
      <c r="I15" s="34">
        <v>4.1900000000000004</v>
      </c>
      <c r="J15" s="15">
        <v>17697</v>
      </c>
      <c r="K15" s="22">
        <f t="shared" si="3"/>
        <v>74150.430000000008</v>
      </c>
      <c r="L15" s="22">
        <f t="shared" si="4"/>
        <v>18537.607500000002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>
        <f t="shared" si="5"/>
        <v>9268.8037500000009</v>
      </c>
      <c r="Z15" s="23"/>
      <c r="AA15" s="23">
        <f t="shared" si="14"/>
        <v>0</v>
      </c>
      <c r="AB15" s="22">
        <f t="shared" si="6"/>
        <v>27806.411250000005</v>
      </c>
      <c r="AC15" s="22">
        <f t="shared" si="0"/>
        <v>101956.84125000001</v>
      </c>
      <c r="AD15" s="22">
        <f t="shared" si="7"/>
        <v>91761.157125000012</v>
      </c>
      <c r="AE15" s="22">
        <f t="shared" si="8"/>
        <v>5505.6694275000009</v>
      </c>
      <c r="AF15" s="22">
        <f t="shared" si="9"/>
        <v>3211.6404993750007</v>
      </c>
      <c r="AG15" s="22">
        <f t="shared" si="1"/>
        <v>3058.7052375000003</v>
      </c>
      <c r="AH15" s="22">
        <f t="shared" si="10"/>
        <v>92688.037500000006</v>
      </c>
      <c r="AI15" s="24">
        <f t="shared" si="11"/>
        <v>1223.4820950000001</v>
      </c>
      <c r="AJ15" s="24">
        <f t="shared" si="12"/>
        <v>66.068033130000003</v>
      </c>
      <c r="AK15" s="24">
        <f t="shared" si="12"/>
        <v>38.539685992500004</v>
      </c>
      <c r="AL15" s="24">
        <f t="shared" si="12"/>
        <v>36.704462850000006</v>
      </c>
      <c r="AM15" s="24">
        <f t="shared" si="2"/>
        <v>92.688037500000007</v>
      </c>
      <c r="AN15" s="24">
        <f t="shared" si="13"/>
        <v>1457.4823144725001</v>
      </c>
    </row>
    <row r="16" spans="1:40" s="9" customFormat="1" x14ac:dyDescent="0.3">
      <c r="A16" s="9">
        <v>4.0599999999999996</v>
      </c>
      <c r="B16" s="38">
        <v>8</v>
      </c>
      <c r="C16" s="84" t="s">
        <v>58</v>
      </c>
      <c r="D16" s="90" t="s">
        <v>231</v>
      </c>
      <c r="E16" s="84" t="s">
        <v>49</v>
      </c>
      <c r="F16" s="91" t="s">
        <v>219</v>
      </c>
      <c r="G16" s="84">
        <v>1</v>
      </c>
      <c r="H16" s="92" t="s">
        <v>59</v>
      </c>
      <c r="I16" s="84">
        <v>4.34</v>
      </c>
      <c r="J16" s="38">
        <v>17697</v>
      </c>
      <c r="K16" s="39">
        <f t="shared" si="3"/>
        <v>153609.96</v>
      </c>
      <c r="L16" s="39">
        <f t="shared" si="4"/>
        <v>38402.49</v>
      </c>
      <c r="M16" s="36"/>
      <c r="N16" s="39"/>
      <c r="O16" s="39"/>
      <c r="P16" s="39"/>
      <c r="Q16" s="39"/>
      <c r="R16" s="36"/>
      <c r="S16" s="36"/>
      <c r="T16" s="36"/>
      <c r="U16" s="93"/>
      <c r="V16" s="36"/>
      <c r="W16" s="36"/>
      <c r="X16" s="36"/>
      <c r="Y16" s="39">
        <f t="shared" si="5"/>
        <v>19201.244999999999</v>
      </c>
      <c r="Z16" s="11">
        <v>1</v>
      </c>
      <c r="AA16" s="94">
        <f t="shared" si="14"/>
        <v>4313</v>
      </c>
      <c r="AB16" s="39">
        <f t="shared" si="6"/>
        <v>61916.735000000001</v>
      </c>
      <c r="AC16" s="39">
        <f t="shared" si="0"/>
        <v>215526.69500000001</v>
      </c>
      <c r="AD16" s="39">
        <f t="shared" si="7"/>
        <v>189661.02549999999</v>
      </c>
      <c r="AE16" s="39">
        <f t="shared" si="8"/>
        <v>11379.661529999999</v>
      </c>
      <c r="AF16" s="39">
        <f t="shared" si="9"/>
        <v>6638.1358925000004</v>
      </c>
      <c r="AG16" s="39">
        <f t="shared" si="1"/>
        <v>6465.8008499999996</v>
      </c>
      <c r="AH16" s="39">
        <f t="shared" si="10"/>
        <v>192012.44999999998</v>
      </c>
      <c r="AI16" s="93">
        <f t="shared" si="11"/>
        <v>2586.3203400000002</v>
      </c>
      <c r="AJ16" s="93">
        <f t="shared" si="12"/>
        <v>136.55593836</v>
      </c>
      <c r="AK16" s="93">
        <f t="shared" si="12"/>
        <v>79.657630710000007</v>
      </c>
      <c r="AL16" s="93">
        <f t="shared" si="12"/>
        <v>77.589610199999996</v>
      </c>
      <c r="AM16" s="93">
        <f t="shared" si="2"/>
        <v>192.01244999999997</v>
      </c>
      <c r="AN16" s="93">
        <f t="shared" si="13"/>
        <v>3072.1359692700003</v>
      </c>
    </row>
    <row r="17" spans="1:40" x14ac:dyDescent="0.3">
      <c r="B17" s="15">
        <v>9</v>
      </c>
      <c r="C17" s="18" t="s">
        <v>209</v>
      </c>
      <c r="D17" s="30" t="s">
        <v>60</v>
      </c>
      <c r="E17" s="18" t="s">
        <v>49</v>
      </c>
      <c r="F17" s="19">
        <v>0</v>
      </c>
      <c r="G17" s="18">
        <v>0.5</v>
      </c>
      <c r="H17" s="20" t="s">
        <v>62</v>
      </c>
      <c r="I17" s="18">
        <v>3.32</v>
      </c>
      <c r="J17" s="15">
        <v>17697</v>
      </c>
      <c r="K17" s="22">
        <f>G17*J17*I17*1.45</f>
        <v>42596.678999999996</v>
      </c>
      <c r="L17" s="22">
        <f>K17*25%</f>
        <v>10649.169749999999</v>
      </c>
      <c r="M17" s="2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>(L17+K17)*10%</f>
        <v>5324.5848750000005</v>
      </c>
      <c r="Z17" s="23">
        <v>1</v>
      </c>
      <c r="AA17" s="23">
        <f t="shared" si="14"/>
        <v>4313</v>
      </c>
      <c r="AB17" s="22">
        <f>AA17+Y17+X17+W17+S17+R17+Q17+P17+O17+N17+L17+V17+U17+M17+T17</f>
        <v>20286.754625000001</v>
      </c>
      <c r="AC17" s="22">
        <f>AB17+K17</f>
        <v>62883.433624999998</v>
      </c>
      <c r="AD17" s="22">
        <f>AC17-AC17*10%-AA17</f>
        <v>52282.090262500002</v>
      </c>
      <c r="AE17" s="22">
        <f>AD17*6%</f>
        <v>3136.92541575</v>
      </c>
      <c r="AF17" s="22">
        <f>AD17*3.5%</f>
        <v>1829.8731591875003</v>
      </c>
      <c r="AG17" s="22">
        <f>AC17*3%</f>
        <v>1886.5030087499999</v>
      </c>
      <c r="AH17" s="22">
        <f>K17+L17</f>
        <v>53245.848749999997</v>
      </c>
      <c r="AI17" s="24">
        <f t="shared" si="11"/>
        <v>754.60120349999988</v>
      </c>
      <c r="AJ17" s="24">
        <f t="shared" si="12"/>
        <v>37.643104989000001</v>
      </c>
      <c r="AK17" s="24">
        <f t="shared" si="12"/>
        <v>21.958477910250004</v>
      </c>
      <c r="AL17" s="24">
        <f t="shared" si="12"/>
        <v>22.638036104999998</v>
      </c>
      <c r="AM17" s="24">
        <f>AH17/1000</f>
        <v>53.24584875</v>
      </c>
      <c r="AN17" s="24">
        <f>AM17+AL17+AK17+AJ17+AI17</f>
        <v>890.08667125424984</v>
      </c>
    </row>
    <row r="18" spans="1:40" x14ac:dyDescent="0.3">
      <c r="B18" s="15">
        <v>10</v>
      </c>
      <c r="C18" s="18" t="s">
        <v>63</v>
      </c>
      <c r="D18" s="30" t="s">
        <v>64</v>
      </c>
      <c r="E18" s="18" t="s">
        <v>49</v>
      </c>
      <c r="F18" s="19" t="s">
        <v>61</v>
      </c>
      <c r="G18" s="18">
        <v>0.5</v>
      </c>
      <c r="H18" s="18" t="s">
        <v>179</v>
      </c>
      <c r="I18" s="18">
        <v>3.36</v>
      </c>
      <c r="J18" s="15">
        <v>17697</v>
      </c>
      <c r="K18" s="22">
        <f t="shared" ref="K18:K43" si="15">G18*J18*I18*1.45</f>
        <v>43109.892</v>
      </c>
      <c r="L18" s="22">
        <f>K18*25%</f>
        <v>10777.473</v>
      </c>
      <c r="M18" s="25"/>
      <c r="N18" s="22"/>
      <c r="O18" s="22"/>
      <c r="P18" s="22"/>
      <c r="Q18" s="22"/>
      <c r="R18" s="25"/>
      <c r="S18" s="25"/>
      <c r="T18" s="25"/>
      <c r="U18" s="25"/>
      <c r="V18" s="25"/>
      <c r="W18" s="25"/>
      <c r="X18" s="25"/>
      <c r="Y18" s="22">
        <f>(L18+K18)*10%</f>
        <v>5388.7365</v>
      </c>
      <c r="Z18" s="26"/>
      <c r="AA18" s="23">
        <f>3975*Z18</f>
        <v>0</v>
      </c>
      <c r="AB18" s="22">
        <f>AA18+Y18+X18+W18+S18+R18+Q18+P18+O18+N18+L18+V18+U18+M18+T18</f>
        <v>16166.209500000001</v>
      </c>
      <c r="AC18" s="22">
        <f>AB18+K18</f>
        <v>59276.101500000004</v>
      </c>
      <c r="AD18" s="22">
        <f>AC18-AC18*10%-AA18</f>
        <v>53348.491350000004</v>
      </c>
      <c r="AE18" s="22">
        <f>AD18*6%</f>
        <v>3200.9094810000001</v>
      </c>
      <c r="AF18" s="22">
        <f>AD18*3.5%</f>
        <v>1867.1971972500003</v>
      </c>
      <c r="AG18" s="22">
        <f>AC18*3%</f>
        <v>1778.2830450000001</v>
      </c>
      <c r="AH18" s="22">
        <f>K18+L18</f>
        <v>53887.364999999998</v>
      </c>
      <c r="AI18" s="24">
        <f t="shared" si="11"/>
        <v>711.31321800000001</v>
      </c>
      <c r="AJ18" s="24">
        <f>(AE18/1000)*12</f>
        <v>38.410913772000001</v>
      </c>
      <c r="AK18" s="24">
        <f>(AF18/1000)*12</f>
        <v>22.406366367000004</v>
      </c>
      <c r="AL18" s="24">
        <f>(AG18/1000)*12</f>
        <v>21.339396540000003</v>
      </c>
      <c r="AM18" s="24">
        <f>AH18/1000</f>
        <v>53.887364999999996</v>
      </c>
      <c r="AN18" s="24">
        <f>AM18+AL18+AK18+AJ18+AI18</f>
        <v>847.35725967899998</v>
      </c>
    </row>
    <row r="19" spans="1:40" x14ac:dyDescent="0.3">
      <c r="B19" s="15">
        <v>11</v>
      </c>
      <c r="C19" s="18" t="s">
        <v>184</v>
      </c>
      <c r="D19" s="30" t="s">
        <v>66</v>
      </c>
      <c r="E19" s="18" t="s">
        <v>37</v>
      </c>
      <c r="F19" s="19" t="s">
        <v>220</v>
      </c>
      <c r="G19" s="18">
        <v>0.5</v>
      </c>
      <c r="H19" s="18" t="s">
        <v>228</v>
      </c>
      <c r="I19" s="18">
        <v>5.09</v>
      </c>
      <c r="J19" s="15">
        <v>17697</v>
      </c>
      <c r="K19" s="22">
        <f t="shared" si="15"/>
        <v>65306.354249999997</v>
      </c>
      <c r="L19" s="22">
        <f>K19*25%</f>
        <v>16326.588562499999</v>
      </c>
      <c r="M19" s="22"/>
      <c r="N19" s="22">
        <f>5309*0.5</f>
        <v>2654.5</v>
      </c>
      <c r="O19" s="22"/>
      <c r="P19" s="22"/>
      <c r="Q19" s="22"/>
      <c r="R19" s="22"/>
      <c r="S19" s="22"/>
      <c r="T19" s="22"/>
      <c r="U19" s="22"/>
      <c r="V19" s="22"/>
      <c r="W19" s="25"/>
      <c r="X19" s="22"/>
      <c r="Y19" s="22">
        <f>(L19+K19)*10%</f>
        <v>8163.2942812500005</v>
      </c>
      <c r="Z19" s="23"/>
      <c r="AA19" s="23">
        <f>3975*Z19</f>
        <v>0</v>
      </c>
      <c r="AB19" s="22">
        <f>AA19+Y19+X19+W19+S19+R19+Q19+P19+O19+N19+L19+V19+U19+M19+T19</f>
        <v>27144.382843749998</v>
      </c>
      <c r="AC19" s="22">
        <f>AB19+K19</f>
        <v>92450.737093749995</v>
      </c>
      <c r="AD19" s="22">
        <f>AC19-AC19*10%-AA19</f>
        <v>83205.663384374988</v>
      </c>
      <c r="AE19" s="22">
        <f>AD19*6%</f>
        <v>4992.3398030624994</v>
      </c>
      <c r="AF19" s="22">
        <f>AD19*3.5%</f>
        <v>2912.1982184531248</v>
      </c>
      <c r="AG19" s="22">
        <f>AC19*3%</f>
        <v>2773.5221128124999</v>
      </c>
      <c r="AH19" s="22">
        <f>K19+L19</f>
        <v>81632.942812499998</v>
      </c>
      <c r="AI19" s="24">
        <f t="shared" si="11"/>
        <v>1109.408845125</v>
      </c>
      <c r="AJ19" s="24">
        <f t="shared" si="12"/>
        <v>59.908077636749994</v>
      </c>
      <c r="AK19" s="24">
        <f t="shared" si="12"/>
        <v>34.946378621437503</v>
      </c>
      <c r="AL19" s="24">
        <f t="shared" si="12"/>
        <v>33.282265353749999</v>
      </c>
      <c r="AM19" s="24">
        <f>AH19/1000</f>
        <v>81.632942812499991</v>
      </c>
      <c r="AN19" s="24">
        <f>AM19+AL19+AK19+AJ19+AI19</f>
        <v>1319.1785095494374</v>
      </c>
    </row>
    <row r="20" spans="1:40" x14ac:dyDescent="0.3">
      <c r="B20" s="15">
        <v>12</v>
      </c>
      <c r="C20" s="18" t="s">
        <v>67</v>
      </c>
      <c r="D20" s="30" t="s">
        <v>68</v>
      </c>
      <c r="E20" s="18" t="s">
        <v>49</v>
      </c>
      <c r="F20" s="19" t="s">
        <v>221</v>
      </c>
      <c r="G20" s="18">
        <v>1</v>
      </c>
      <c r="H20" s="18" t="s">
        <v>65</v>
      </c>
      <c r="I20" s="18">
        <v>3.68</v>
      </c>
      <c r="J20" s="15">
        <v>17697</v>
      </c>
      <c r="K20" s="22">
        <f t="shared" si="15"/>
        <v>94431.19200000001</v>
      </c>
      <c r="L20" s="22">
        <f t="shared" ref="L20:L23" si="16">K20*25%</f>
        <v>23607.798000000003</v>
      </c>
      <c r="M20" s="25"/>
      <c r="N20" s="22"/>
      <c r="O20" s="22"/>
      <c r="P20" s="22"/>
      <c r="Q20" s="22"/>
      <c r="R20" s="25"/>
      <c r="S20" s="25"/>
      <c r="T20" s="25"/>
      <c r="U20" s="25"/>
      <c r="V20" s="25"/>
      <c r="W20" s="22"/>
      <c r="X20" s="25"/>
      <c r="Y20" s="22">
        <f>(L20+K20)*10%</f>
        <v>11803.899000000003</v>
      </c>
      <c r="Z20" s="26">
        <v>1</v>
      </c>
      <c r="AA20" s="23">
        <f>4313*Z20</f>
        <v>4313</v>
      </c>
      <c r="AB20" s="22">
        <f>AA20+Y20+X20+W20+S20+R20+Q20+P20+O20+N20+L20+V20+U20+M20+T20</f>
        <v>39724.697000000007</v>
      </c>
      <c r="AC20" s="22">
        <f>AB20+K20</f>
        <v>134155.88900000002</v>
      </c>
      <c r="AD20" s="22">
        <f>AC20-AC20*10%-AA20</f>
        <v>116427.30010000002</v>
      </c>
      <c r="AE20" s="22">
        <f>AD20*6%</f>
        <v>6985.638006000001</v>
      </c>
      <c r="AF20" s="22">
        <f>AD20*3.5%</f>
        <v>4074.9555035000012</v>
      </c>
      <c r="AG20" s="22">
        <f>AC20*3%</f>
        <v>4024.6766700000007</v>
      </c>
      <c r="AH20" s="22">
        <f>K20+L20</f>
        <v>118038.99000000002</v>
      </c>
      <c r="AI20" s="24">
        <f t="shared" si="11"/>
        <v>1609.8706680000005</v>
      </c>
      <c r="AJ20" s="24">
        <f t="shared" si="12"/>
        <v>83.827656072000011</v>
      </c>
      <c r="AK20" s="24">
        <f t="shared" si="12"/>
        <v>48.899466042000014</v>
      </c>
      <c r="AL20" s="24">
        <f t="shared" si="12"/>
        <v>48.296120040000005</v>
      </c>
      <c r="AM20" s="24">
        <f>AH20/1000</f>
        <v>118.03899000000003</v>
      </c>
      <c r="AN20" s="24">
        <f>AM20+AL20+AK20+AJ20+AI20</f>
        <v>1908.9329001540004</v>
      </c>
    </row>
    <row r="21" spans="1:40" x14ac:dyDescent="0.3">
      <c r="B21" s="15">
        <v>13</v>
      </c>
      <c r="C21" s="18" t="s">
        <v>115</v>
      </c>
      <c r="D21" s="29" t="s">
        <v>69</v>
      </c>
      <c r="E21" s="18" t="s">
        <v>49</v>
      </c>
      <c r="F21" s="19" t="s">
        <v>222</v>
      </c>
      <c r="G21" s="18">
        <v>1</v>
      </c>
      <c r="H21" s="18" t="s">
        <v>65</v>
      </c>
      <c r="I21" s="34">
        <v>3.68</v>
      </c>
      <c r="J21" s="15">
        <v>17697</v>
      </c>
      <c r="K21" s="22">
        <f t="shared" si="15"/>
        <v>94431.19200000001</v>
      </c>
      <c r="L21" s="22"/>
      <c r="M21" s="25"/>
      <c r="N21" s="22"/>
      <c r="O21" s="22"/>
      <c r="P21" s="22"/>
      <c r="Q21" s="22"/>
      <c r="R21" s="25"/>
      <c r="S21" s="25"/>
      <c r="T21" s="25"/>
      <c r="U21" s="25"/>
      <c r="V21" s="25"/>
      <c r="W21" s="25"/>
      <c r="X21" s="25"/>
      <c r="Y21" s="22">
        <f>(L21+K21)*10%</f>
        <v>9443.119200000001</v>
      </c>
      <c r="Z21" s="26">
        <v>1</v>
      </c>
      <c r="AA21" s="23">
        <f t="shared" ref="AA21:AA23" si="17">4313*Z21</f>
        <v>4313</v>
      </c>
      <c r="AB21" s="22">
        <f>AA21+Y21+X21+W21+S21+R21+Q21+P21+O21+N21+L21+V21+U21+M21+T21</f>
        <v>13756.119200000001</v>
      </c>
      <c r="AC21" s="22">
        <f>AB21+K21</f>
        <v>108187.31120000001</v>
      </c>
      <c r="AD21" s="22">
        <f>AC21-AC21*10%-AA21</f>
        <v>93055.580080000014</v>
      </c>
      <c r="AE21" s="22">
        <f>AD21*6%</f>
        <v>5583.3348048000007</v>
      </c>
      <c r="AF21" s="22">
        <f>AD21*3.5%</f>
        <v>3256.9453028000007</v>
      </c>
      <c r="AG21" s="22">
        <f>AC21*3%</f>
        <v>3245.6193360000002</v>
      </c>
      <c r="AH21" s="22">
        <f>K21+L21</f>
        <v>94431.19200000001</v>
      </c>
      <c r="AI21" s="24">
        <f t="shared" si="11"/>
        <v>1298.2477344000001</v>
      </c>
      <c r="AJ21" s="24">
        <f t="shared" si="12"/>
        <v>67.000017657600011</v>
      </c>
      <c r="AK21" s="24">
        <f t="shared" si="12"/>
        <v>39.083343633600009</v>
      </c>
      <c r="AL21" s="24">
        <f t="shared" si="12"/>
        <v>38.947432032000002</v>
      </c>
      <c r="AM21" s="24">
        <f>AH21/1000</f>
        <v>94.43119200000001</v>
      </c>
      <c r="AN21" s="24">
        <f>AM21+AL21+AK21+AJ21+AI21</f>
        <v>1537.7097197232001</v>
      </c>
    </row>
    <row r="22" spans="1:40" x14ac:dyDescent="0.3">
      <c r="A22" s="35"/>
      <c r="B22" s="15">
        <v>14</v>
      </c>
      <c r="C22" s="32" t="s">
        <v>70</v>
      </c>
      <c r="D22" s="30" t="s">
        <v>71</v>
      </c>
      <c r="E22" s="18" t="s">
        <v>72</v>
      </c>
      <c r="F22" s="19" t="s">
        <v>73</v>
      </c>
      <c r="G22" s="18">
        <v>1</v>
      </c>
      <c r="H22" s="18" t="s">
        <v>65</v>
      </c>
      <c r="I22" s="18">
        <v>3.61</v>
      </c>
      <c r="J22" s="15">
        <v>17697</v>
      </c>
      <c r="K22" s="22">
        <f t="shared" si="15"/>
        <v>92634.946499999991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>
        <f t="shared" si="5"/>
        <v>9263.4946499999987</v>
      </c>
      <c r="Z22" s="23">
        <v>1</v>
      </c>
      <c r="AA22" s="23">
        <f t="shared" si="17"/>
        <v>4313</v>
      </c>
      <c r="AB22" s="22">
        <f t="shared" si="6"/>
        <v>13576.494649999999</v>
      </c>
      <c r="AC22" s="22">
        <f t="shared" si="0"/>
        <v>106211.44114999998</v>
      </c>
      <c r="AD22" s="22">
        <f t="shared" si="7"/>
        <v>91277.297034999981</v>
      </c>
      <c r="AE22" s="22">
        <f t="shared" si="8"/>
        <v>5476.6378220999986</v>
      </c>
      <c r="AF22" s="22">
        <f t="shared" si="9"/>
        <v>3194.7053962249997</v>
      </c>
      <c r="AG22" s="22">
        <f t="shared" si="1"/>
        <v>3186.3432344999992</v>
      </c>
      <c r="AH22" s="22">
        <f t="shared" si="10"/>
        <v>92634.946499999991</v>
      </c>
      <c r="AI22" s="24">
        <f t="shared" si="11"/>
        <v>1274.5372937999998</v>
      </c>
      <c r="AJ22" s="24">
        <f t="shared" si="12"/>
        <v>65.719653865199987</v>
      </c>
      <c r="AK22" s="24">
        <f t="shared" si="12"/>
        <v>38.336464754699996</v>
      </c>
      <c r="AL22" s="24">
        <f t="shared" si="12"/>
        <v>38.236118813999994</v>
      </c>
      <c r="AM22" s="24">
        <f t="shared" si="2"/>
        <v>92.634946499999984</v>
      </c>
      <c r="AN22" s="24">
        <f t="shared" si="13"/>
        <v>1509.4644777338997</v>
      </c>
    </row>
    <row r="23" spans="1:40" x14ac:dyDescent="0.3">
      <c r="B23" s="15">
        <v>15</v>
      </c>
      <c r="C23" s="18" t="s">
        <v>74</v>
      </c>
      <c r="D23" s="30" t="s">
        <v>64</v>
      </c>
      <c r="E23" s="18" t="s">
        <v>72</v>
      </c>
      <c r="F23" s="19" t="s">
        <v>223</v>
      </c>
      <c r="G23" s="18">
        <v>1</v>
      </c>
      <c r="H23" s="18" t="s">
        <v>65</v>
      </c>
      <c r="I23" s="18">
        <v>3.31</v>
      </c>
      <c r="J23" s="15">
        <v>17697</v>
      </c>
      <c r="K23" s="22">
        <f t="shared" si="15"/>
        <v>84936.751499999998</v>
      </c>
      <c r="L23" s="22">
        <f t="shared" si="16"/>
        <v>21234.187875</v>
      </c>
      <c r="M23" s="25"/>
      <c r="N23" s="22"/>
      <c r="O23" s="22"/>
      <c r="P23" s="22"/>
      <c r="Q23" s="22"/>
      <c r="R23" s="25"/>
      <c r="S23" s="25"/>
      <c r="T23" s="25"/>
      <c r="U23" s="25"/>
      <c r="V23" s="25"/>
      <c r="W23" s="25"/>
      <c r="X23" s="25"/>
      <c r="Y23" s="22">
        <f t="shared" si="5"/>
        <v>10617.093937500002</v>
      </c>
      <c r="Z23" s="26">
        <v>1</v>
      </c>
      <c r="AA23" s="23">
        <f t="shared" si="17"/>
        <v>4313</v>
      </c>
      <c r="AB23" s="22">
        <f t="shared" si="6"/>
        <v>36164.281812500005</v>
      </c>
      <c r="AC23" s="22">
        <f t="shared" si="0"/>
        <v>121101.0333125</v>
      </c>
      <c r="AD23" s="22">
        <f t="shared" si="7"/>
        <v>104677.92998125</v>
      </c>
      <c r="AE23" s="22">
        <f t="shared" si="8"/>
        <v>6280.6757988749996</v>
      </c>
      <c r="AF23" s="22">
        <f t="shared" si="9"/>
        <v>3663.7275493437501</v>
      </c>
      <c r="AG23" s="22">
        <f t="shared" si="1"/>
        <v>3633.0309993750002</v>
      </c>
      <c r="AH23" s="22">
        <f t="shared" si="10"/>
        <v>106170.939375</v>
      </c>
      <c r="AI23" s="24">
        <f t="shared" si="11"/>
        <v>1453.21239975</v>
      </c>
      <c r="AJ23" s="24">
        <f t="shared" si="12"/>
        <v>75.368109586499997</v>
      </c>
      <c r="AK23" s="24">
        <f t="shared" si="12"/>
        <v>43.964730592125001</v>
      </c>
      <c r="AL23" s="24">
        <f t="shared" si="12"/>
        <v>43.596371992500004</v>
      </c>
      <c r="AM23" s="24">
        <f t="shared" si="2"/>
        <v>106.170939375</v>
      </c>
      <c r="AN23" s="24">
        <f t="shared" si="13"/>
        <v>1722.3125512961251</v>
      </c>
    </row>
    <row r="24" spans="1:40" x14ac:dyDescent="0.3">
      <c r="B24" s="15">
        <v>16</v>
      </c>
      <c r="C24" s="18" t="s">
        <v>75</v>
      </c>
      <c r="D24" s="30" t="s">
        <v>76</v>
      </c>
      <c r="E24" s="18" t="s">
        <v>49</v>
      </c>
      <c r="F24" s="19" t="s">
        <v>224</v>
      </c>
      <c r="G24" s="18">
        <v>0.5</v>
      </c>
      <c r="H24" s="18" t="s">
        <v>230</v>
      </c>
      <c r="I24" s="18">
        <v>3.08</v>
      </c>
      <c r="J24" s="15">
        <v>17697</v>
      </c>
      <c r="K24" s="22">
        <f t="shared" si="15"/>
        <v>39517.400999999998</v>
      </c>
      <c r="L24" s="22"/>
      <c r="M24" s="25"/>
      <c r="N24" s="22"/>
      <c r="O24" s="22"/>
      <c r="P24" s="22"/>
      <c r="Q24" s="22"/>
      <c r="R24" s="25"/>
      <c r="S24" s="25"/>
      <c r="T24" s="25"/>
      <c r="U24" s="25"/>
      <c r="V24" s="25"/>
      <c r="W24" s="25"/>
      <c r="X24" s="25"/>
      <c r="Y24" s="22">
        <f t="shared" si="5"/>
        <v>3951.7401</v>
      </c>
      <c r="Z24" s="23"/>
      <c r="AA24" s="23">
        <f t="shared" ref="AA24" si="18">3975*Z24</f>
        <v>0</v>
      </c>
      <c r="AB24" s="22">
        <f t="shared" si="6"/>
        <v>3951.7401</v>
      </c>
      <c r="AC24" s="22">
        <f t="shared" si="0"/>
        <v>43469.141100000001</v>
      </c>
      <c r="AD24" s="22">
        <f t="shared" si="7"/>
        <v>39122.226990000003</v>
      </c>
      <c r="AE24" s="22">
        <f t="shared" si="8"/>
        <v>2347.3336193999999</v>
      </c>
      <c r="AF24" s="22">
        <f t="shared" si="9"/>
        <v>1369.2779446500003</v>
      </c>
      <c r="AG24" s="22">
        <f t="shared" si="1"/>
        <v>1304.074233</v>
      </c>
      <c r="AH24" s="22">
        <f t="shared" si="10"/>
        <v>39517.400999999998</v>
      </c>
      <c r="AI24" s="24">
        <f t="shared" si="11"/>
        <v>521.62969320000002</v>
      </c>
      <c r="AJ24" s="24">
        <f t="shared" si="12"/>
        <v>28.168003432799999</v>
      </c>
      <c r="AK24" s="24">
        <f t="shared" si="12"/>
        <v>16.431335335800004</v>
      </c>
      <c r="AL24" s="24">
        <f t="shared" si="12"/>
        <v>15.648890796000002</v>
      </c>
      <c r="AM24" s="24">
        <f t="shared" si="2"/>
        <v>39.517401</v>
      </c>
      <c r="AN24" s="24">
        <f t="shared" si="13"/>
        <v>621.39532376459999</v>
      </c>
    </row>
    <row r="25" spans="1:40" x14ac:dyDescent="0.3">
      <c r="B25" s="15">
        <v>17</v>
      </c>
      <c r="C25" s="18" t="s">
        <v>77</v>
      </c>
      <c r="D25" s="30" t="s">
        <v>78</v>
      </c>
      <c r="E25" s="18" t="s">
        <v>49</v>
      </c>
      <c r="F25" s="18" t="s">
        <v>226</v>
      </c>
      <c r="G25" s="18">
        <v>1</v>
      </c>
      <c r="H25" s="18" t="s">
        <v>230</v>
      </c>
      <c r="I25" s="18">
        <v>3.19</v>
      </c>
      <c r="J25" s="15">
        <v>17697</v>
      </c>
      <c r="K25" s="22">
        <f t="shared" si="15"/>
        <v>81857.473499999993</v>
      </c>
      <c r="L25" s="22"/>
      <c r="M25" s="25"/>
      <c r="N25" s="22"/>
      <c r="O25" s="22"/>
      <c r="P25" s="22"/>
      <c r="Q25" s="22">
        <v>5309</v>
      </c>
      <c r="R25" s="25"/>
      <c r="S25" s="25"/>
      <c r="T25" s="25"/>
      <c r="U25" s="25"/>
      <c r="V25" s="25"/>
      <c r="W25" s="25"/>
      <c r="X25" s="25"/>
      <c r="Y25" s="22">
        <f t="shared" si="5"/>
        <v>8185.7473499999996</v>
      </c>
      <c r="Z25" s="23">
        <v>1</v>
      </c>
      <c r="AA25" s="23">
        <f t="shared" ref="AA25:AA42" si="19">4313*Z25</f>
        <v>4313</v>
      </c>
      <c r="AB25" s="22">
        <f t="shared" si="6"/>
        <v>17807.747349999998</v>
      </c>
      <c r="AC25" s="22">
        <f t="shared" si="0"/>
        <v>99665.220849999983</v>
      </c>
      <c r="AD25" s="22">
        <f t="shared" si="7"/>
        <v>85385.698764999979</v>
      </c>
      <c r="AE25" s="22">
        <f t="shared" si="8"/>
        <v>5123.1419258999986</v>
      </c>
      <c r="AF25" s="22">
        <f t="shared" si="9"/>
        <v>2988.4994567749995</v>
      </c>
      <c r="AG25" s="22">
        <f t="shared" si="1"/>
        <v>2989.9566254999995</v>
      </c>
      <c r="AH25" s="22">
        <f t="shared" si="10"/>
        <v>81857.473499999993</v>
      </c>
      <c r="AI25" s="24">
        <f t="shared" si="11"/>
        <v>1195.9826501999999</v>
      </c>
      <c r="AJ25" s="24">
        <f t="shared" ref="AJ25:AL42" si="20">(AE25/1000)*12</f>
        <v>61.477703110799986</v>
      </c>
      <c r="AK25" s="24">
        <f t="shared" si="20"/>
        <v>35.861993481299997</v>
      </c>
      <c r="AL25" s="24">
        <f t="shared" si="20"/>
        <v>35.879479505999996</v>
      </c>
      <c r="AM25" s="24">
        <f t="shared" si="2"/>
        <v>81.857473499999998</v>
      </c>
      <c r="AN25" s="24">
        <f t="shared" si="13"/>
        <v>1411.0592997980998</v>
      </c>
    </row>
    <row r="26" spans="1:40" x14ac:dyDescent="0.3">
      <c r="B26" s="15">
        <v>18</v>
      </c>
      <c r="C26" s="18" t="s">
        <v>79</v>
      </c>
      <c r="D26" s="30" t="s">
        <v>80</v>
      </c>
      <c r="E26" s="18" t="s">
        <v>72</v>
      </c>
      <c r="F26" s="18"/>
      <c r="G26" s="18">
        <v>1</v>
      </c>
      <c r="H26" s="18" t="s">
        <v>81</v>
      </c>
      <c r="I26" s="18">
        <v>2.77</v>
      </c>
      <c r="J26" s="15">
        <v>17697</v>
      </c>
      <c r="K26" s="22">
        <f t="shared" si="15"/>
        <v>71080.000499999995</v>
      </c>
      <c r="L26" s="22"/>
      <c r="M26" s="25"/>
      <c r="N26" s="22"/>
      <c r="O26" s="22"/>
      <c r="P26" s="22"/>
      <c r="Q26" s="22"/>
      <c r="R26" s="25"/>
      <c r="S26" s="25"/>
      <c r="T26" s="25"/>
      <c r="U26" s="25"/>
      <c r="V26" s="25"/>
      <c r="W26" s="25"/>
      <c r="X26" s="25"/>
      <c r="Y26" s="22">
        <f t="shared" si="5"/>
        <v>7108.0000499999996</v>
      </c>
      <c r="Z26" s="23">
        <v>1</v>
      </c>
      <c r="AA26" s="23">
        <f t="shared" si="19"/>
        <v>4313</v>
      </c>
      <c r="AB26" s="22">
        <f t="shared" si="6"/>
        <v>11421.000049999999</v>
      </c>
      <c r="AC26" s="22">
        <f t="shared" si="0"/>
        <v>82501.000549999997</v>
      </c>
      <c r="AD26" s="22">
        <f t="shared" si="7"/>
        <v>69937.900494999994</v>
      </c>
      <c r="AE26" s="22">
        <f t="shared" si="8"/>
        <v>4196.2740296999991</v>
      </c>
      <c r="AF26" s="22">
        <f t="shared" si="9"/>
        <v>2447.8265173250002</v>
      </c>
      <c r="AG26" s="22">
        <f t="shared" si="1"/>
        <v>2475.0300164999999</v>
      </c>
      <c r="AH26" s="22">
        <f t="shared" si="10"/>
        <v>71080.000499999995</v>
      </c>
      <c r="AI26" s="24">
        <f t="shared" si="11"/>
        <v>990.01200659999995</v>
      </c>
      <c r="AJ26" s="24">
        <f t="shared" si="20"/>
        <v>50.355288356399981</v>
      </c>
      <c r="AK26" s="24">
        <f t="shared" si="20"/>
        <v>29.373918207900005</v>
      </c>
      <c r="AL26" s="24">
        <f t="shared" si="20"/>
        <v>29.700360197999998</v>
      </c>
      <c r="AM26" s="24">
        <f t="shared" si="2"/>
        <v>71.080000499999997</v>
      </c>
      <c r="AN26" s="24">
        <f t="shared" si="13"/>
        <v>1170.5215738622999</v>
      </c>
    </row>
    <row r="27" spans="1:40" x14ac:dyDescent="0.3">
      <c r="B27" s="15">
        <v>19</v>
      </c>
      <c r="C27" s="18" t="s">
        <v>82</v>
      </c>
      <c r="D27" s="30" t="s">
        <v>83</v>
      </c>
      <c r="E27" s="18" t="s">
        <v>72</v>
      </c>
      <c r="F27" s="18"/>
      <c r="G27" s="18">
        <v>0.5</v>
      </c>
      <c r="H27" s="18" t="s">
        <v>81</v>
      </c>
      <c r="I27" s="18">
        <v>2.77</v>
      </c>
      <c r="J27" s="15">
        <v>17697</v>
      </c>
      <c r="K27" s="22">
        <f t="shared" si="15"/>
        <v>35540.000249999997</v>
      </c>
      <c r="L27" s="22"/>
      <c r="M27" s="25"/>
      <c r="N27" s="22"/>
      <c r="O27" s="22"/>
      <c r="P27" s="22"/>
      <c r="Q27" s="22"/>
      <c r="R27" s="25"/>
      <c r="S27" s="25"/>
      <c r="T27" s="25"/>
      <c r="U27" s="25"/>
      <c r="V27" s="25"/>
      <c r="W27" s="25"/>
      <c r="X27" s="25"/>
      <c r="Y27" s="22">
        <f t="shared" si="5"/>
        <v>3554.0000249999998</v>
      </c>
      <c r="Z27" s="23">
        <v>1</v>
      </c>
      <c r="AA27" s="23">
        <f t="shared" si="19"/>
        <v>4313</v>
      </c>
      <c r="AB27" s="22">
        <f t="shared" si="6"/>
        <v>7867.0000249999994</v>
      </c>
      <c r="AC27" s="22">
        <f t="shared" si="0"/>
        <v>43407.000274999999</v>
      </c>
      <c r="AD27" s="22">
        <f t="shared" si="7"/>
        <v>34753.300247499996</v>
      </c>
      <c r="AE27" s="22">
        <f t="shared" si="8"/>
        <v>2085.1980148499997</v>
      </c>
      <c r="AF27" s="22">
        <f t="shared" si="9"/>
        <v>1216.3655086624999</v>
      </c>
      <c r="AG27" s="22">
        <f t="shared" si="1"/>
        <v>1302.2100082499999</v>
      </c>
      <c r="AH27" s="22">
        <f t="shared" si="10"/>
        <v>35540.000249999997</v>
      </c>
      <c r="AI27" s="24">
        <f t="shared" si="11"/>
        <v>520.88400330000002</v>
      </c>
      <c r="AJ27" s="24">
        <f t="shared" si="20"/>
        <v>25.022376178199995</v>
      </c>
      <c r="AK27" s="24">
        <f t="shared" si="20"/>
        <v>14.596386103949998</v>
      </c>
      <c r="AL27" s="24">
        <f t="shared" si="20"/>
        <v>15.626520098999999</v>
      </c>
      <c r="AM27" s="24">
        <f t="shared" si="2"/>
        <v>35.540000249999999</v>
      </c>
      <c r="AN27" s="24">
        <f t="shared" si="13"/>
        <v>611.66928593114994</v>
      </c>
    </row>
    <row r="28" spans="1:40" x14ac:dyDescent="0.3">
      <c r="B28" s="15">
        <v>20</v>
      </c>
      <c r="C28" s="18" t="s">
        <v>84</v>
      </c>
      <c r="D28" s="30" t="s">
        <v>85</v>
      </c>
      <c r="E28" s="18" t="s">
        <v>72</v>
      </c>
      <c r="F28" s="18"/>
      <c r="G28" s="18">
        <v>1</v>
      </c>
      <c r="H28" s="18" t="s">
        <v>81</v>
      </c>
      <c r="I28" s="18">
        <v>2.77</v>
      </c>
      <c r="J28" s="15">
        <v>17697</v>
      </c>
      <c r="K28" s="22">
        <f t="shared" si="15"/>
        <v>71080.000499999995</v>
      </c>
      <c r="L28" s="22"/>
      <c r="M28" s="25"/>
      <c r="N28" s="22"/>
      <c r="O28" s="22"/>
      <c r="P28" s="22"/>
      <c r="Q28" s="22"/>
      <c r="R28" s="25"/>
      <c r="S28" s="25"/>
      <c r="T28" s="25"/>
      <c r="U28" s="25"/>
      <c r="V28" s="25"/>
      <c r="W28" s="25"/>
      <c r="X28" s="25"/>
      <c r="Y28" s="22">
        <f t="shared" si="5"/>
        <v>7108.0000499999996</v>
      </c>
      <c r="Z28" s="23">
        <v>1</v>
      </c>
      <c r="AA28" s="23">
        <f t="shared" si="19"/>
        <v>4313</v>
      </c>
      <c r="AB28" s="22">
        <f t="shared" si="6"/>
        <v>11421.000049999999</v>
      </c>
      <c r="AC28" s="22">
        <f t="shared" si="0"/>
        <v>82501.000549999997</v>
      </c>
      <c r="AD28" s="22">
        <f t="shared" si="7"/>
        <v>69937.900494999994</v>
      </c>
      <c r="AE28" s="22">
        <f t="shared" si="8"/>
        <v>4196.2740296999991</v>
      </c>
      <c r="AF28" s="22">
        <f t="shared" si="9"/>
        <v>2447.8265173250002</v>
      </c>
      <c r="AG28" s="22">
        <f t="shared" si="1"/>
        <v>2475.0300164999999</v>
      </c>
      <c r="AH28" s="22">
        <f t="shared" si="10"/>
        <v>71080.000499999995</v>
      </c>
      <c r="AI28" s="24">
        <f t="shared" si="11"/>
        <v>990.01200659999995</v>
      </c>
      <c r="AJ28" s="24">
        <f t="shared" si="20"/>
        <v>50.355288356399981</v>
      </c>
      <c r="AK28" s="24">
        <f t="shared" si="20"/>
        <v>29.373918207900005</v>
      </c>
      <c r="AL28" s="24">
        <f t="shared" si="20"/>
        <v>29.700360197999998</v>
      </c>
      <c r="AM28" s="24">
        <f t="shared" si="2"/>
        <v>71.080000499999997</v>
      </c>
      <c r="AN28" s="24">
        <f t="shared" si="13"/>
        <v>1170.5215738622999</v>
      </c>
    </row>
    <row r="29" spans="1:40" x14ac:dyDescent="0.3">
      <c r="B29" s="15">
        <v>21</v>
      </c>
      <c r="C29" s="18" t="s">
        <v>211</v>
      </c>
      <c r="D29" s="30" t="s">
        <v>86</v>
      </c>
      <c r="E29" s="18" t="s">
        <v>72</v>
      </c>
      <c r="F29" s="18"/>
      <c r="G29" s="18">
        <v>0.5</v>
      </c>
      <c r="H29" s="18" t="s">
        <v>87</v>
      </c>
      <c r="I29" s="18">
        <v>2.81</v>
      </c>
      <c r="J29" s="15">
        <v>17697</v>
      </c>
      <c r="K29" s="22">
        <f t="shared" si="15"/>
        <v>36053.213250000001</v>
      </c>
      <c r="L29" s="22"/>
      <c r="M29" s="25"/>
      <c r="N29" s="22"/>
      <c r="O29" s="22"/>
      <c r="P29" s="22">
        <f>5309*0.5</f>
        <v>2654.5</v>
      </c>
      <c r="Q29" s="22"/>
      <c r="R29" s="25"/>
      <c r="S29" s="25"/>
      <c r="T29" s="25"/>
      <c r="U29" s="25"/>
      <c r="V29" s="25"/>
      <c r="W29" s="25"/>
      <c r="X29" s="25"/>
      <c r="Y29" s="22">
        <f t="shared" si="5"/>
        <v>3605.3213250000003</v>
      </c>
      <c r="Z29" s="23">
        <v>1</v>
      </c>
      <c r="AA29" s="23">
        <f t="shared" si="19"/>
        <v>4313</v>
      </c>
      <c r="AB29" s="22">
        <f t="shared" si="6"/>
        <v>10572.821325000001</v>
      </c>
      <c r="AC29" s="22">
        <f t="shared" si="0"/>
        <v>46626.034574999998</v>
      </c>
      <c r="AD29" s="22">
        <f t="shared" si="7"/>
        <v>37650.431117499997</v>
      </c>
      <c r="AE29" s="22">
        <f t="shared" si="8"/>
        <v>2259.0258670499998</v>
      </c>
      <c r="AF29" s="22">
        <f t="shared" si="9"/>
        <v>1317.7650891124999</v>
      </c>
      <c r="AG29" s="22">
        <f t="shared" si="1"/>
        <v>1398.7810372499998</v>
      </c>
      <c r="AH29" s="22">
        <f t="shared" si="10"/>
        <v>36053.213250000001</v>
      </c>
      <c r="AI29" s="24">
        <f t="shared" si="11"/>
        <v>559.51241489999995</v>
      </c>
      <c r="AJ29" s="24">
        <f t="shared" si="20"/>
        <v>27.108310404599997</v>
      </c>
      <c r="AK29" s="24">
        <f t="shared" si="20"/>
        <v>15.813181069349998</v>
      </c>
      <c r="AL29" s="24">
        <f t="shared" si="20"/>
        <v>16.785372446999997</v>
      </c>
      <c r="AM29" s="24">
        <f t="shared" si="2"/>
        <v>36.053213249999999</v>
      </c>
      <c r="AN29" s="24">
        <f t="shared" si="13"/>
        <v>655.27249207094997</v>
      </c>
    </row>
    <row r="30" spans="1:40" x14ac:dyDescent="0.3">
      <c r="B30" s="15">
        <v>22</v>
      </c>
      <c r="C30" s="18" t="s">
        <v>211</v>
      </c>
      <c r="D30" s="30" t="s">
        <v>88</v>
      </c>
      <c r="E30" s="18" t="s">
        <v>72</v>
      </c>
      <c r="F30" s="18"/>
      <c r="G30" s="18">
        <v>0.25</v>
      </c>
      <c r="H30" s="18" t="s">
        <v>87</v>
      </c>
      <c r="I30" s="18">
        <v>2.81</v>
      </c>
      <c r="J30" s="15">
        <v>17697</v>
      </c>
      <c r="K30" s="22">
        <f t="shared" si="15"/>
        <v>18026.606625</v>
      </c>
      <c r="L30" s="22"/>
      <c r="M30" s="25"/>
      <c r="N30" s="22"/>
      <c r="O30" s="22">
        <f>0.25*3539</f>
        <v>884.75</v>
      </c>
      <c r="P30" s="22"/>
      <c r="Q30" s="22"/>
      <c r="R30" s="25"/>
      <c r="S30" s="25"/>
      <c r="T30" s="25"/>
      <c r="U30" s="25"/>
      <c r="V30" s="25"/>
      <c r="W30" s="25"/>
      <c r="X30" s="25"/>
      <c r="Y30" s="22">
        <f t="shared" si="5"/>
        <v>1802.6606625000002</v>
      </c>
      <c r="Z30" s="23"/>
      <c r="AA30" s="23">
        <f t="shared" si="19"/>
        <v>0</v>
      </c>
      <c r="AB30" s="22">
        <f t="shared" si="6"/>
        <v>2687.4106625000004</v>
      </c>
      <c r="AC30" s="22">
        <f t="shared" si="0"/>
        <v>20714.017287499999</v>
      </c>
      <c r="AD30" s="22">
        <f t="shared" si="7"/>
        <v>18642.61555875</v>
      </c>
      <c r="AE30" s="22">
        <f t="shared" si="8"/>
        <v>1118.556933525</v>
      </c>
      <c r="AF30" s="22">
        <f t="shared" si="9"/>
        <v>652.49154455625001</v>
      </c>
      <c r="AG30" s="22">
        <f t="shared" si="1"/>
        <v>621.420518625</v>
      </c>
      <c r="AH30" s="22">
        <f t="shared" si="10"/>
        <v>18026.606625</v>
      </c>
      <c r="AI30" s="24">
        <f t="shared" si="11"/>
        <v>248.56820744999999</v>
      </c>
      <c r="AJ30" s="24">
        <f t="shared" si="20"/>
        <v>13.4226832023</v>
      </c>
      <c r="AK30" s="24">
        <f t="shared" si="20"/>
        <v>7.8298985346750003</v>
      </c>
      <c r="AL30" s="24">
        <f t="shared" si="20"/>
        <v>7.4570462235000008</v>
      </c>
      <c r="AM30" s="24">
        <f t="shared" si="2"/>
        <v>18.026606624999999</v>
      </c>
      <c r="AN30" s="24">
        <f t="shared" si="13"/>
        <v>295.30444203547501</v>
      </c>
    </row>
    <row r="31" spans="1:40" x14ac:dyDescent="0.3">
      <c r="B31" s="15">
        <v>24</v>
      </c>
      <c r="C31" s="18" t="s">
        <v>213</v>
      </c>
      <c r="D31" s="30" t="s">
        <v>90</v>
      </c>
      <c r="E31" s="18" t="s">
        <v>72</v>
      </c>
      <c r="F31" s="18"/>
      <c r="G31" s="18">
        <v>0.5</v>
      </c>
      <c r="H31" s="18" t="s">
        <v>91</v>
      </c>
      <c r="I31" s="18">
        <v>2.84</v>
      </c>
      <c r="J31" s="15">
        <v>17697</v>
      </c>
      <c r="K31" s="22">
        <f t="shared" ref="K31" si="21">G31*J31*I31*1.45</f>
        <v>36438.122999999992</v>
      </c>
      <c r="L31" s="22"/>
      <c r="M31" s="25"/>
      <c r="N31" s="22"/>
      <c r="O31" s="22"/>
      <c r="P31" s="22"/>
      <c r="Q31" s="22"/>
      <c r="R31" s="24">
        <f>36348/164.92*80/2</f>
        <v>8815.910744603445</v>
      </c>
      <c r="S31" s="25"/>
      <c r="T31" s="25"/>
      <c r="U31" s="25"/>
      <c r="V31" s="25"/>
      <c r="W31" s="24">
        <f>K31/164.92*24/2</f>
        <v>2651.3308028134848</v>
      </c>
      <c r="X31" s="25"/>
      <c r="Y31" s="22">
        <f t="shared" ref="Y31" si="22">(L31+K31)*10%</f>
        <v>3643.8122999999996</v>
      </c>
      <c r="Z31" s="23">
        <v>1</v>
      </c>
      <c r="AA31" s="23">
        <f t="shared" ref="AA31" si="23">4313*Z31</f>
        <v>4313</v>
      </c>
      <c r="AB31" s="22">
        <f t="shared" ref="AB31" si="24">AA31+Y31+X31+W31+S31+R31+Q31+P31+O31+N31+L31+V31+U31+M31+T31</f>
        <v>19424.05384741693</v>
      </c>
      <c r="AC31" s="22">
        <f t="shared" ref="AC31" si="25">AB31+K31</f>
        <v>55862.176847416922</v>
      </c>
      <c r="AD31" s="22">
        <f t="shared" ref="AD31" si="26">AC31-AC31*10%-AA31</f>
        <v>45962.95916267523</v>
      </c>
      <c r="AE31" s="22">
        <f t="shared" ref="AE31" si="27">AD31*6%</f>
        <v>2757.7775497605135</v>
      </c>
      <c r="AF31" s="22">
        <f t="shared" ref="AF31" si="28">AD31*3.5%</f>
        <v>1608.7035706936333</v>
      </c>
      <c r="AG31" s="22">
        <f t="shared" ref="AG31" si="29">AC31*3%</f>
        <v>1675.8653054225076</v>
      </c>
      <c r="AH31" s="22">
        <f t="shared" ref="AH31" si="30">K31+L31</f>
        <v>36438.122999999992</v>
      </c>
      <c r="AI31" s="24">
        <f t="shared" ref="AI31" si="31">(AC31/1000)*12</f>
        <v>670.34612216900302</v>
      </c>
      <c r="AJ31" s="24">
        <f t="shared" ref="AJ31" si="32">(AE31/1000)*12</f>
        <v>33.093330597126162</v>
      </c>
      <c r="AK31" s="24">
        <f t="shared" ref="AK31" si="33">(AF31/1000)*12</f>
        <v>19.3044428483236</v>
      </c>
      <c r="AL31" s="24">
        <f t="shared" ref="AL31" si="34">(AG31/1000)*12</f>
        <v>20.110383665070092</v>
      </c>
      <c r="AM31" s="24">
        <f t="shared" ref="AM31" si="35">AH31/1000</f>
        <v>36.43812299999999</v>
      </c>
      <c r="AN31" s="24">
        <f t="shared" ref="AN31" si="36">AM31+AL31+AK31+AJ31+AI31</f>
        <v>779.29240227952289</v>
      </c>
    </row>
    <row r="32" spans="1:40" x14ac:dyDescent="0.3">
      <c r="B32" s="15">
        <v>24</v>
      </c>
      <c r="C32" s="18" t="s">
        <v>92</v>
      </c>
      <c r="D32" s="30" t="s">
        <v>90</v>
      </c>
      <c r="E32" s="18" t="s">
        <v>72</v>
      </c>
      <c r="F32" s="18"/>
      <c r="G32" s="18">
        <v>0.5</v>
      </c>
      <c r="H32" s="18" t="s">
        <v>91</v>
      </c>
      <c r="I32" s="18">
        <v>2.84</v>
      </c>
      <c r="J32" s="15">
        <v>17697</v>
      </c>
      <c r="K32" s="22">
        <f t="shared" si="15"/>
        <v>36438.122999999992</v>
      </c>
      <c r="L32" s="22"/>
      <c r="M32" s="25"/>
      <c r="N32" s="22"/>
      <c r="O32" s="22"/>
      <c r="P32" s="22"/>
      <c r="Q32" s="22"/>
      <c r="R32" s="24">
        <f>36348/164.92*80/2</f>
        <v>8815.910744603445</v>
      </c>
      <c r="S32" s="25"/>
      <c r="T32" s="25"/>
      <c r="U32" s="25"/>
      <c r="V32" s="25"/>
      <c r="W32" s="24">
        <f>K32/164.92*24/2</f>
        <v>2651.3308028134848</v>
      </c>
      <c r="X32" s="25"/>
      <c r="Y32" s="22">
        <f t="shared" si="5"/>
        <v>3643.8122999999996</v>
      </c>
      <c r="Z32" s="23">
        <v>1</v>
      </c>
      <c r="AA32" s="23">
        <f t="shared" si="19"/>
        <v>4313</v>
      </c>
      <c r="AB32" s="22">
        <f t="shared" si="6"/>
        <v>19424.05384741693</v>
      </c>
      <c r="AC32" s="22">
        <f t="shared" si="0"/>
        <v>55862.176847416922</v>
      </c>
      <c r="AD32" s="22">
        <f t="shared" si="7"/>
        <v>45962.95916267523</v>
      </c>
      <c r="AE32" s="22">
        <f t="shared" si="8"/>
        <v>2757.7775497605135</v>
      </c>
      <c r="AF32" s="22">
        <f t="shared" si="9"/>
        <v>1608.7035706936333</v>
      </c>
      <c r="AG32" s="22">
        <f t="shared" si="1"/>
        <v>1675.8653054225076</v>
      </c>
      <c r="AH32" s="22">
        <f t="shared" si="10"/>
        <v>36438.122999999992</v>
      </c>
      <c r="AI32" s="24">
        <f t="shared" si="11"/>
        <v>670.34612216900302</v>
      </c>
      <c r="AJ32" s="24">
        <f t="shared" si="20"/>
        <v>33.093330597126162</v>
      </c>
      <c r="AK32" s="24">
        <f t="shared" si="20"/>
        <v>19.3044428483236</v>
      </c>
      <c r="AL32" s="24">
        <f t="shared" si="20"/>
        <v>20.110383665070092</v>
      </c>
      <c r="AM32" s="24">
        <f t="shared" si="2"/>
        <v>36.43812299999999</v>
      </c>
      <c r="AN32" s="24">
        <f t="shared" si="13"/>
        <v>779.29240227952289</v>
      </c>
    </row>
    <row r="33" spans="2:40" x14ac:dyDescent="0.3">
      <c r="B33" s="15">
        <v>25</v>
      </c>
      <c r="C33" s="18" t="s">
        <v>93</v>
      </c>
      <c r="D33" s="30" t="s">
        <v>94</v>
      </c>
      <c r="E33" s="18" t="s">
        <v>72</v>
      </c>
      <c r="F33" s="18"/>
      <c r="G33" s="18">
        <v>1</v>
      </c>
      <c r="H33" s="18" t="s">
        <v>95</v>
      </c>
      <c r="I33" s="18">
        <v>2.84</v>
      </c>
      <c r="J33" s="15">
        <v>17697</v>
      </c>
      <c r="K33" s="22">
        <f t="shared" si="15"/>
        <v>72876.245999999985</v>
      </c>
      <c r="L33" s="22"/>
      <c r="M33" s="25"/>
      <c r="N33" s="22"/>
      <c r="O33" s="22"/>
      <c r="P33" s="22"/>
      <c r="Q33" s="22"/>
      <c r="R33" s="25"/>
      <c r="S33" s="25"/>
      <c r="T33" s="25"/>
      <c r="U33" s="25"/>
      <c r="V33" s="25"/>
      <c r="W33" s="25"/>
      <c r="X33" s="24">
        <f>17697*30%</f>
        <v>5309.0999999999995</v>
      </c>
      <c r="Y33" s="22">
        <f t="shared" si="5"/>
        <v>7287.6245999999992</v>
      </c>
      <c r="Z33" s="23">
        <v>1</v>
      </c>
      <c r="AA33" s="23">
        <f t="shared" si="19"/>
        <v>4313</v>
      </c>
      <c r="AB33" s="22">
        <f t="shared" si="6"/>
        <v>16909.724599999998</v>
      </c>
      <c r="AC33" s="22">
        <f t="shared" si="0"/>
        <v>89785.970599999986</v>
      </c>
      <c r="AD33" s="22">
        <f t="shared" si="7"/>
        <v>76494.373539999986</v>
      </c>
      <c r="AE33" s="22">
        <f t="shared" si="8"/>
        <v>4589.6624123999991</v>
      </c>
      <c r="AF33" s="22">
        <f t="shared" si="9"/>
        <v>2677.3030738999996</v>
      </c>
      <c r="AG33" s="22">
        <f t="shared" si="1"/>
        <v>2693.5791179999997</v>
      </c>
      <c r="AH33" s="22">
        <f t="shared" si="10"/>
        <v>72876.245999999985</v>
      </c>
      <c r="AI33" s="24">
        <f t="shared" si="11"/>
        <v>1077.4316471999998</v>
      </c>
      <c r="AJ33" s="24">
        <f t="shared" si="20"/>
        <v>55.07594894879999</v>
      </c>
      <c r="AK33" s="24">
        <f t="shared" si="20"/>
        <v>32.127636886799998</v>
      </c>
      <c r="AL33" s="24">
        <f t="shared" si="20"/>
        <v>32.322949416</v>
      </c>
      <c r="AM33" s="24">
        <f t="shared" si="2"/>
        <v>72.876245999999981</v>
      </c>
      <c r="AN33" s="24">
        <f t="shared" si="13"/>
        <v>1269.8344284515997</v>
      </c>
    </row>
    <row r="34" spans="2:40" x14ac:dyDescent="0.3">
      <c r="B34" s="15">
        <v>26</v>
      </c>
      <c r="C34" s="18" t="s">
        <v>96</v>
      </c>
      <c r="D34" s="30" t="s">
        <v>97</v>
      </c>
      <c r="E34" s="18" t="s">
        <v>72</v>
      </c>
      <c r="F34" s="18"/>
      <c r="G34" s="18">
        <v>1</v>
      </c>
      <c r="H34" s="18" t="s">
        <v>87</v>
      </c>
      <c r="I34" s="18">
        <v>2.81</v>
      </c>
      <c r="J34" s="15">
        <v>17697</v>
      </c>
      <c r="K34" s="22">
        <f t="shared" si="15"/>
        <v>72106.426500000001</v>
      </c>
      <c r="L34" s="22"/>
      <c r="M34" s="25"/>
      <c r="N34" s="22"/>
      <c r="O34" s="22"/>
      <c r="P34" s="22"/>
      <c r="Q34" s="22"/>
      <c r="R34" s="25"/>
      <c r="S34" s="25"/>
      <c r="T34" s="25"/>
      <c r="U34" s="25"/>
      <c r="V34" s="25"/>
      <c r="W34" s="25"/>
      <c r="X34" s="25"/>
      <c r="Y34" s="22">
        <f t="shared" si="5"/>
        <v>7210.6426500000007</v>
      </c>
      <c r="Z34" s="23">
        <v>1</v>
      </c>
      <c r="AA34" s="23">
        <f t="shared" si="19"/>
        <v>4313</v>
      </c>
      <c r="AB34" s="22">
        <f t="shared" si="6"/>
        <v>11523.642650000002</v>
      </c>
      <c r="AC34" s="22">
        <f t="shared" si="0"/>
        <v>83630.069149999996</v>
      </c>
      <c r="AD34" s="22">
        <f t="shared" si="7"/>
        <v>70954.06223499999</v>
      </c>
      <c r="AE34" s="22">
        <f t="shared" si="8"/>
        <v>4257.2437340999995</v>
      </c>
      <c r="AF34" s="22">
        <f t="shared" si="9"/>
        <v>2483.392178225</v>
      </c>
      <c r="AG34" s="22">
        <f t="shared" si="1"/>
        <v>2508.9020744999998</v>
      </c>
      <c r="AH34" s="22">
        <f t="shared" si="10"/>
        <v>72106.426500000001</v>
      </c>
      <c r="AI34" s="24">
        <f t="shared" si="11"/>
        <v>1003.5608298</v>
      </c>
      <c r="AJ34" s="24">
        <f t="shared" si="20"/>
        <v>51.086924809199992</v>
      </c>
      <c r="AK34" s="24">
        <f t="shared" si="20"/>
        <v>29.800706138700001</v>
      </c>
      <c r="AL34" s="24">
        <f t="shared" si="20"/>
        <v>30.106824893999999</v>
      </c>
      <c r="AM34" s="24">
        <f t="shared" si="2"/>
        <v>72.106426499999998</v>
      </c>
      <c r="AN34" s="24">
        <f t="shared" si="13"/>
        <v>1186.6617121418999</v>
      </c>
    </row>
    <row r="35" spans="2:40" x14ac:dyDescent="0.3">
      <c r="B35" s="15">
        <v>27</v>
      </c>
      <c r="C35" s="18" t="s">
        <v>98</v>
      </c>
      <c r="D35" s="30" t="s">
        <v>99</v>
      </c>
      <c r="E35" s="18" t="s">
        <v>72</v>
      </c>
      <c r="F35" s="18"/>
      <c r="G35" s="18">
        <v>1</v>
      </c>
      <c r="H35" s="18" t="s">
        <v>87</v>
      </c>
      <c r="I35" s="18">
        <v>2.81</v>
      </c>
      <c r="J35" s="15">
        <v>17697</v>
      </c>
      <c r="K35" s="22">
        <f t="shared" si="15"/>
        <v>72106.426500000001</v>
      </c>
      <c r="L35" s="22"/>
      <c r="M35" s="25"/>
      <c r="N35" s="22"/>
      <c r="O35" s="22"/>
      <c r="P35" s="22"/>
      <c r="Q35" s="22"/>
      <c r="R35" s="24">
        <f>K35/164.92*80/2</f>
        <v>17488.825248605386</v>
      </c>
      <c r="S35" s="25"/>
      <c r="T35" s="25"/>
      <c r="U35" s="25"/>
      <c r="V35" s="25"/>
      <c r="W35" s="24">
        <f>K35/164.92*24/2</f>
        <v>5246.6475745816151</v>
      </c>
      <c r="X35" s="25"/>
      <c r="Y35" s="22">
        <f t="shared" si="5"/>
        <v>7210.6426500000007</v>
      </c>
      <c r="Z35" s="23">
        <v>1</v>
      </c>
      <c r="AA35" s="23">
        <f t="shared" si="19"/>
        <v>4313</v>
      </c>
      <c r="AB35" s="22">
        <f t="shared" si="6"/>
        <v>34259.115473187005</v>
      </c>
      <c r="AC35" s="22">
        <f t="shared" si="0"/>
        <v>106365.54197318701</v>
      </c>
      <c r="AD35" s="22">
        <f t="shared" si="7"/>
        <v>91415.9877758683</v>
      </c>
      <c r="AE35" s="22">
        <f t="shared" si="8"/>
        <v>5484.9592665520977</v>
      </c>
      <c r="AF35" s="22">
        <f t="shared" si="9"/>
        <v>3199.5595721553909</v>
      </c>
      <c r="AG35" s="22">
        <f t="shared" si="1"/>
        <v>3190.9662591956103</v>
      </c>
      <c r="AH35" s="22">
        <f t="shared" si="10"/>
        <v>72106.426500000001</v>
      </c>
      <c r="AI35" s="24">
        <f t="shared" si="11"/>
        <v>1276.386503678244</v>
      </c>
      <c r="AJ35" s="24">
        <f t="shared" si="20"/>
        <v>65.819511198625179</v>
      </c>
      <c r="AK35" s="24">
        <f t="shared" si="20"/>
        <v>38.394714865864692</v>
      </c>
      <c r="AL35" s="24">
        <f t="shared" si="20"/>
        <v>38.291595110347323</v>
      </c>
      <c r="AM35" s="24">
        <f t="shared" si="2"/>
        <v>72.106426499999998</v>
      </c>
      <c r="AN35" s="24">
        <f t="shared" si="13"/>
        <v>1490.9987513530812</v>
      </c>
    </row>
    <row r="36" spans="2:40" x14ac:dyDescent="0.3">
      <c r="B36" s="15">
        <v>23</v>
      </c>
      <c r="C36" s="18" t="s">
        <v>89</v>
      </c>
      <c r="D36" s="30" t="s">
        <v>212</v>
      </c>
      <c r="E36" s="18" t="s">
        <v>72</v>
      </c>
      <c r="F36" s="18"/>
      <c r="G36" s="18">
        <v>0.5</v>
      </c>
      <c r="H36" s="18" t="s">
        <v>91</v>
      </c>
      <c r="I36" s="18">
        <v>2.84</v>
      </c>
      <c r="J36" s="15">
        <v>17697</v>
      </c>
      <c r="K36" s="22">
        <f>G36*J36*I36*1.45</f>
        <v>36438.122999999992</v>
      </c>
      <c r="L36" s="22"/>
      <c r="M36" s="25"/>
      <c r="N36" s="22"/>
      <c r="O36" s="22"/>
      <c r="P36" s="22"/>
      <c r="Q36" s="22"/>
      <c r="R36" s="24">
        <f>36348/164.92*80/2</f>
        <v>8815.910744603445</v>
      </c>
      <c r="S36" s="25"/>
      <c r="T36" s="25"/>
      <c r="U36" s="25"/>
      <c r="V36" s="25"/>
      <c r="W36" s="24">
        <f>K36/164.92*24/2</f>
        <v>2651.3308028134848</v>
      </c>
      <c r="X36" s="25"/>
      <c r="Y36" s="22">
        <f>(L36+K36)*10%</f>
        <v>3643.8122999999996</v>
      </c>
      <c r="Z36" s="23">
        <v>1</v>
      </c>
      <c r="AA36" s="23">
        <f>4313*Z36</f>
        <v>4313</v>
      </c>
      <c r="AB36" s="22">
        <f>AA36+Y36+X36+W36+S36+R36+Q36+P36+O36+N36+L36+V36+U36+M36+T36</f>
        <v>19424.05384741693</v>
      </c>
      <c r="AC36" s="22">
        <f>AB36+K36</f>
        <v>55862.176847416922</v>
      </c>
      <c r="AD36" s="22">
        <f>AC36-AC36*10%-AA36</f>
        <v>45962.95916267523</v>
      </c>
      <c r="AE36" s="22">
        <f>AD36*6%</f>
        <v>2757.7775497605135</v>
      </c>
      <c r="AF36" s="22">
        <f>AD36*3.5%</f>
        <v>1608.7035706936333</v>
      </c>
      <c r="AG36" s="22">
        <f>AC36*3%</f>
        <v>1675.8653054225076</v>
      </c>
      <c r="AH36" s="22">
        <f>K36+L36</f>
        <v>36438.122999999992</v>
      </c>
      <c r="AI36" s="24">
        <f>(AC36/1000)*12</f>
        <v>670.34612216900302</v>
      </c>
      <c r="AJ36" s="24">
        <f>(AE36/1000)*12</f>
        <v>33.093330597126162</v>
      </c>
      <c r="AK36" s="24">
        <f>(AF36/1000)*12</f>
        <v>19.3044428483236</v>
      </c>
      <c r="AL36" s="24">
        <f>(AG36/1000)*12</f>
        <v>20.110383665070092</v>
      </c>
      <c r="AM36" s="24">
        <f>AH36/1000</f>
        <v>36.43812299999999</v>
      </c>
      <c r="AN36" s="24">
        <f>AM36+AL36+AK36+AJ36+AI36</f>
        <v>779.29240227952289</v>
      </c>
    </row>
    <row r="37" spans="2:40" x14ac:dyDescent="0.3">
      <c r="B37" s="15">
        <v>29</v>
      </c>
      <c r="C37" s="18" t="s">
        <v>100</v>
      </c>
      <c r="D37" s="30" t="s">
        <v>99</v>
      </c>
      <c r="E37" s="18" t="s">
        <v>72</v>
      </c>
      <c r="F37" s="18"/>
      <c r="G37" s="18">
        <v>1</v>
      </c>
      <c r="H37" s="18" t="s">
        <v>87</v>
      </c>
      <c r="I37" s="18">
        <v>2.81</v>
      </c>
      <c r="J37" s="15">
        <v>17697</v>
      </c>
      <c r="K37" s="22">
        <f t="shared" si="15"/>
        <v>72106.426500000001</v>
      </c>
      <c r="L37" s="22"/>
      <c r="M37" s="25"/>
      <c r="N37" s="22"/>
      <c r="O37" s="22"/>
      <c r="P37" s="22"/>
      <c r="Q37" s="22"/>
      <c r="R37" s="24">
        <f t="shared" ref="R37" si="37">K37/164.92*80/2</f>
        <v>17488.825248605386</v>
      </c>
      <c r="S37" s="25"/>
      <c r="T37" s="25"/>
      <c r="U37" s="25"/>
      <c r="V37" s="25"/>
      <c r="W37" s="24">
        <f t="shared" ref="W37" si="38">K37/164.92*24/2</f>
        <v>5246.6475745816151</v>
      </c>
      <c r="X37" s="25"/>
      <c r="Y37" s="22">
        <f t="shared" si="5"/>
        <v>7210.6426500000007</v>
      </c>
      <c r="Z37" s="23">
        <v>1</v>
      </c>
      <c r="AA37" s="23">
        <f t="shared" si="19"/>
        <v>4313</v>
      </c>
      <c r="AB37" s="22">
        <f t="shared" si="6"/>
        <v>34259.115473187005</v>
      </c>
      <c r="AC37" s="22">
        <f t="shared" si="0"/>
        <v>106365.54197318701</v>
      </c>
      <c r="AD37" s="22">
        <f t="shared" si="7"/>
        <v>91415.9877758683</v>
      </c>
      <c r="AE37" s="22">
        <f t="shared" si="8"/>
        <v>5484.9592665520977</v>
      </c>
      <c r="AF37" s="22">
        <f t="shared" si="9"/>
        <v>3199.5595721553909</v>
      </c>
      <c r="AG37" s="22">
        <f t="shared" si="1"/>
        <v>3190.9662591956103</v>
      </c>
      <c r="AH37" s="22">
        <f t="shared" si="10"/>
        <v>72106.426500000001</v>
      </c>
      <c r="AI37" s="24">
        <f t="shared" si="11"/>
        <v>1276.386503678244</v>
      </c>
      <c r="AJ37" s="24">
        <f t="shared" si="20"/>
        <v>65.819511198625179</v>
      </c>
      <c r="AK37" s="24">
        <f t="shared" si="20"/>
        <v>38.394714865864692</v>
      </c>
      <c r="AL37" s="24">
        <f t="shared" si="20"/>
        <v>38.291595110347323</v>
      </c>
      <c r="AM37" s="24">
        <f t="shared" si="2"/>
        <v>72.106426499999998</v>
      </c>
      <c r="AN37" s="24">
        <f t="shared" si="13"/>
        <v>1490.9987513530812</v>
      </c>
    </row>
    <row r="38" spans="2:40" x14ac:dyDescent="0.3">
      <c r="B38" s="15">
        <v>30</v>
      </c>
      <c r="C38" s="18" t="s">
        <v>101</v>
      </c>
      <c r="D38" s="30" t="s">
        <v>102</v>
      </c>
      <c r="E38" s="18" t="s">
        <v>72</v>
      </c>
      <c r="F38" s="18"/>
      <c r="G38" s="18">
        <v>0.75</v>
      </c>
      <c r="H38" s="18" t="s">
        <v>87</v>
      </c>
      <c r="I38" s="18">
        <v>2.81</v>
      </c>
      <c r="J38" s="15">
        <v>17697</v>
      </c>
      <c r="K38" s="22">
        <f t="shared" si="15"/>
        <v>54079.819874999994</v>
      </c>
      <c r="L38" s="22"/>
      <c r="M38" s="25"/>
      <c r="N38" s="22"/>
      <c r="O38" s="22">
        <f>G38*3539</f>
        <v>2654.25</v>
      </c>
      <c r="P38" s="22"/>
      <c r="Q38" s="22"/>
      <c r="R38" s="25"/>
      <c r="S38" s="25"/>
      <c r="T38" s="25"/>
      <c r="U38" s="25"/>
      <c r="V38" s="25"/>
      <c r="W38" s="25"/>
      <c r="X38" s="25"/>
      <c r="Y38" s="22">
        <f t="shared" si="5"/>
        <v>5407.9819874999994</v>
      </c>
      <c r="Z38" s="23">
        <v>1</v>
      </c>
      <c r="AA38" s="23">
        <f t="shared" si="19"/>
        <v>4313</v>
      </c>
      <c r="AB38" s="22">
        <f t="shared" si="6"/>
        <v>12375.231987499999</v>
      </c>
      <c r="AC38" s="22">
        <f t="shared" si="0"/>
        <v>66455.051862499997</v>
      </c>
      <c r="AD38" s="22">
        <f t="shared" si="7"/>
        <v>55496.54667625</v>
      </c>
      <c r="AE38" s="22">
        <f t="shared" si="8"/>
        <v>3329.792800575</v>
      </c>
      <c r="AF38" s="22">
        <f t="shared" si="9"/>
        <v>1942.3791336687502</v>
      </c>
      <c r="AG38" s="22">
        <f t="shared" si="1"/>
        <v>1993.6515558749998</v>
      </c>
      <c r="AH38" s="22">
        <f t="shared" si="10"/>
        <v>54079.819874999994</v>
      </c>
      <c r="AI38" s="24">
        <f t="shared" si="11"/>
        <v>797.46062234999999</v>
      </c>
      <c r="AJ38" s="24">
        <f t="shared" si="20"/>
        <v>39.957513606900001</v>
      </c>
      <c r="AK38" s="24">
        <f t="shared" si="20"/>
        <v>23.308549604025004</v>
      </c>
      <c r="AL38" s="24">
        <f t="shared" si="20"/>
        <v>23.923818670499998</v>
      </c>
      <c r="AM38" s="24">
        <f t="shared" si="2"/>
        <v>54.079819874999991</v>
      </c>
      <c r="AN38" s="24">
        <f t="shared" si="13"/>
        <v>938.73032410642497</v>
      </c>
    </row>
    <row r="39" spans="2:40" x14ac:dyDescent="0.3">
      <c r="B39" s="15">
        <v>31</v>
      </c>
      <c r="C39" s="18" t="s">
        <v>103</v>
      </c>
      <c r="D39" s="30" t="s">
        <v>102</v>
      </c>
      <c r="E39" s="18" t="s">
        <v>72</v>
      </c>
      <c r="F39" s="18"/>
      <c r="G39" s="18">
        <v>1</v>
      </c>
      <c r="H39" s="18" t="s">
        <v>87</v>
      </c>
      <c r="I39" s="18">
        <v>2.81</v>
      </c>
      <c r="J39" s="15">
        <v>17697</v>
      </c>
      <c r="K39" s="22">
        <f t="shared" si="15"/>
        <v>72106.426500000001</v>
      </c>
      <c r="L39" s="22"/>
      <c r="M39" s="25"/>
      <c r="N39" s="22"/>
      <c r="O39" s="22">
        <v>3539</v>
      </c>
      <c r="P39" s="22"/>
      <c r="Q39" s="22"/>
      <c r="R39" s="25"/>
      <c r="S39" s="25"/>
      <c r="T39" s="25"/>
      <c r="U39" s="25"/>
      <c r="V39" s="25"/>
      <c r="W39" s="25"/>
      <c r="X39" s="25"/>
      <c r="Y39" s="22">
        <f t="shared" si="5"/>
        <v>7210.6426500000007</v>
      </c>
      <c r="Z39" s="23">
        <v>1</v>
      </c>
      <c r="AA39" s="23">
        <f t="shared" si="19"/>
        <v>4313</v>
      </c>
      <c r="AB39" s="22">
        <f t="shared" si="6"/>
        <v>15062.642650000002</v>
      </c>
      <c r="AC39" s="22">
        <f t="shared" si="0"/>
        <v>87169.069149999996</v>
      </c>
      <c r="AD39" s="22">
        <f t="shared" si="7"/>
        <v>74139.162234999996</v>
      </c>
      <c r="AE39" s="22">
        <f t="shared" si="8"/>
        <v>4448.3497340999993</v>
      </c>
      <c r="AF39" s="22">
        <f t="shared" si="9"/>
        <v>2594.8706782250001</v>
      </c>
      <c r="AG39" s="22">
        <f t="shared" si="1"/>
        <v>2615.0720744999999</v>
      </c>
      <c r="AH39" s="22">
        <f t="shared" si="10"/>
        <v>72106.426500000001</v>
      </c>
      <c r="AI39" s="24">
        <f t="shared" si="11"/>
        <v>1046.0288298</v>
      </c>
      <c r="AJ39" s="24">
        <f t="shared" si="20"/>
        <v>53.380196809199987</v>
      </c>
      <c r="AK39" s="24">
        <f t="shared" si="20"/>
        <v>31.138448138699999</v>
      </c>
      <c r="AL39" s="24">
        <f t="shared" si="20"/>
        <v>31.380864893999998</v>
      </c>
      <c r="AM39" s="24">
        <f t="shared" si="2"/>
        <v>72.106426499999998</v>
      </c>
      <c r="AN39" s="24">
        <f t="shared" si="13"/>
        <v>1234.0347661419</v>
      </c>
    </row>
    <row r="40" spans="2:40" x14ac:dyDescent="0.3">
      <c r="B40" s="15">
        <v>32</v>
      </c>
      <c r="C40" s="18" t="s">
        <v>104</v>
      </c>
      <c r="D40" s="30" t="s">
        <v>102</v>
      </c>
      <c r="E40" s="18" t="s">
        <v>72</v>
      </c>
      <c r="F40" s="18"/>
      <c r="G40" s="18">
        <v>1</v>
      </c>
      <c r="H40" s="18" t="s">
        <v>87</v>
      </c>
      <c r="I40" s="18">
        <v>2.81</v>
      </c>
      <c r="J40" s="15">
        <v>17697</v>
      </c>
      <c r="K40" s="22">
        <f t="shared" si="15"/>
        <v>72106.426500000001</v>
      </c>
      <c r="L40" s="22"/>
      <c r="M40" s="25"/>
      <c r="N40" s="22"/>
      <c r="O40" s="22"/>
      <c r="P40" s="22">
        <v>5309</v>
      </c>
      <c r="Q40" s="22"/>
      <c r="R40" s="25"/>
      <c r="S40" s="25"/>
      <c r="T40" s="25"/>
      <c r="U40" s="25"/>
      <c r="V40" s="25"/>
      <c r="W40" s="25"/>
      <c r="X40" s="25"/>
      <c r="Y40" s="22">
        <f t="shared" si="5"/>
        <v>7210.6426500000007</v>
      </c>
      <c r="Z40" s="23">
        <v>1</v>
      </c>
      <c r="AA40" s="23">
        <f t="shared" si="19"/>
        <v>4313</v>
      </c>
      <c r="AB40" s="22">
        <f t="shared" si="6"/>
        <v>16832.642650000002</v>
      </c>
      <c r="AC40" s="22">
        <f t="shared" si="0"/>
        <v>88939.069149999996</v>
      </c>
      <c r="AD40" s="22">
        <f t="shared" si="7"/>
        <v>75732.162234999996</v>
      </c>
      <c r="AE40" s="22">
        <f t="shared" si="8"/>
        <v>4543.9297340999992</v>
      </c>
      <c r="AF40" s="22">
        <f t="shared" si="9"/>
        <v>2650.6256782250002</v>
      </c>
      <c r="AG40" s="22">
        <f t="shared" si="1"/>
        <v>2668.1720744999998</v>
      </c>
      <c r="AH40" s="22">
        <f t="shared" si="10"/>
        <v>72106.426500000001</v>
      </c>
      <c r="AI40" s="24">
        <f t="shared" si="11"/>
        <v>1067.2688297999998</v>
      </c>
      <c r="AJ40" s="24">
        <f t="shared" si="20"/>
        <v>54.527156809199987</v>
      </c>
      <c r="AK40" s="24">
        <f t="shared" si="20"/>
        <v>31.807508138700005</v>
      </c>
      <c r="AL40" s="24">
        <f t="shared" si="20"/>
        <v>32.018064893999998</v>
      </c>
      <c r="AM40" s="24">
        <f t="shared" si="2"/>
        <v>72.106426499999998</v>
      </c>
      <c r="AN40" s="24">
        <f t="shared" si="13"/>
        <v>1257.7279861418997</v>
      </c>
    </row>
    <row r="41" spans="2:40" x14ac:dyDescent="0.3">
      <c r="B41" s="15">
        <v>33</v>
      </c>
      <c r="C41" s="18" t="s">
        <v>105</v>
      </c>
      <c r="D41" s="30" t="s">
        <v>102</v>
      </c>
      <c r="E41" s="18" t="s">
        <v>72</v>
      </c>
      <c r="F41" s="18"/>
      <c r="G41" s="18">
        <v>0.75</v>
      </c>
      <c r="H41" s="18" t="s">
        <v>95</v>
      </c>
      <c r="I41" s="18">
        <v>2.81</v>
      </c>
      <c r="J41" s="15">
        <v>17697</v>
      </c>
      <c r="K41" s="22">
        <f t="shared" si="15"/>
        <v>54079.819874999994</v>
      </c>
      <c r="L41" s="22"/>
      <c r="M41" s="25"/>
      <c r="N41" s="22"/>
      <c r="O41" s="22">
        <f>0.75*3539</f>
        <v>2654.25</v>
      </c>
      <c r="P41" s="22"/>
      <c r="Q41" s="22"/>
      <c r="R41" s="25"/>
      <c r="S41" s="25"/>
      <c r="T41" s="25"/>
      <c r="U41" s="25"/>
      <c r="V41" s="25"/>
      <c r="W41" s="25"/>
      <c r="X41" s="25"/>
      <c r="Y41" s="22">
        <f t="shared" si="5"/>
        <v>5407.9819874999994</v>
      </c>
      <c r="Z41" s="23">
        <v>1</v>
      </c>
      <c r="AA41" s="23">
        <f t="shared" si="19"/>
        <v>4313</v>
      </c>
      <c r="AB41" s="22">
        <f t="shared" si="6"/>
        <v>12375.231987499999</v>
      </c>
      <c r="AC41" s="22">
        <f t="shared" si="0"/>
        <v>66455.051862499997</v>
      </c>
      <c r="AD41" s="22">
        <f t="shared" si="7"/>
        <v>55496.54667625</v>
      </c>
      <c r="AE41" s="22">
        <f t="shared" si="8"/>
        <v>3329.792800575</v>
      </c>
      <c r="AF41" s="22">
        <f t="shared" si="9"/>
        <v>1942.3791336687502</v>
      </c>
      <c r="AG41" s="22">
        <f t="shared" si="1"/>
        <v>1993.6515558749998</v>
      </c>
      <c r="AH41" s="22">
        <f t="shared" si="10"/>
        <v>54079.819874999994</v>
      </c>
      <c r="AI41" s="24">
        <f t="shared" si="11"/>
        <v>797.46062234999999</v>
      </c>
      <c r="AJ41" s="24">
        <f t="shared" si="20"/>
        <v>39.957513606900001</v>
      </c>
      <c r="AK41" s="24">
        <f t="shared" si="20"/>
        <v>23.308549604025004</v>
      </c>
      <c r="AL41" s="24">
        <f t="shared" si="20"/>
        <v>23.923818670499998</v>
      </c>
      <c r="AM41" s="24">
        <f t="shared" si="2"/>
        <v>54.079819874999991</v>
      </c>
      <c r="AN41" s="24">
        <f t="shared" si="13"/>
        <v>938.73032410642497</v>
      </c>
    </row>
    <row r="42" spans="2:40" x14ac:dyDescent="0.3">
      <c r="B42" s="15">
        <v>34</v>
      </c>
      <c r="C42" s="18" t="s">
        <v>106</v>
      </c>
      <c r="D42" s="30" t="s">
        <v>107</v>
      </c>
      <c r="E42" s="18" t="s">
        <v>72</v>
      </c>
      <c r="F42" s="18"/>
      <c r="G42" s="18">
        <v>1</v>
      </c>
      <c r="H42" s="18" t="s">
        <v>95</v>
      </c>
      <c r="I42" s="18">
        <v>2.84</v>
      </c>
      <c r="J42" s="15">
        <v>17697</v>
      </c>
      <c r="K42" s="22">
        <f t="shared" si="15"/>
        <v>72876.245999999985</v>
      </c>
      <c r="L42" s="22"/>
      <c r="M42" s="25"/>
      <c r="N42" s="22"/>
      <c r="O42" s="22"/>
      <c r="P42" s="22"/>
      <c r="Q42" s="22"/>
      <c r="R42" s="25"/>
      <c r="S42" s="25"/>
      <c r="T42" s="25"/>
      <c r="U42" s="25"/>
      <c r="V42" s="25"/>
      <c r="W42" s="25"/>
      <c r="X42" s="25"/>
      <c r="Y42" s="22">
        <f>(L42+K42)*10%</f>
        <v>7287.6245999999992</v>
      </c>
      <c r="Z42" s="23">
        <v>1</v>
      </c>
      <c r="AA42" s="23">
        <f t="shared" si="19"/>
        <v>4313</v>
      </c>
      <c r="AB42" s="22">
        <f t="shared" si="6"/>
        <v>11600.624599999999</v>
      </c>
      <c r="AC42" s="22">
        <f t="shared" si="0"/>
        <v>84476.87059999998</v>
      </c>
      <c r="AD42" s="22">
        <f t="shared" si="7"/>
        <v>71716.183539999984</v>
      </c>
      <c r="AE42" s="22">
        <f t="shared" si="8"/>
        <v>4302.9710123999985</v>
      </c>
      <c r="AF42" s="22">
        <f t="shared" si="9"/>
        <v>2510.0664238999998</v>
      </c>
      <c r="AG42" s="22">
        <f t="shared" si="1"/>
        <v>2534.3061179999995</v>
      </c>
      <c r="AH42" s="22">
        <f t="shared" si="10"/>
        <v>72876.245999999985</v>
      </c>
      <c r="AI42" s="24">
        <f t="shared" si="11"/>
        <v>1013.7224471999998</v>
      </c>
      <c r="AJ42" s="24">
        <f t="shared" si="20"/>
        <v>51.635652148799984</v>
      </c>
      <c r="AK42" s="24">
        <f t="shared" si="20"/>
        <v>30.120797086799996</v>
      </c>
      <c r="AL42" s="24">
        <f t="shared" si="20"/>
        <v>30.411673415999992</v>
      </c>
      <c r="AM42" s="24">
        <f t="shared" si="2"/>
        <v>72.876245999999981</v>
      </c>
      <c r="AN42" s="24">
        <f t="shared" si="13"/>
        <v>1198.7668158515999</v>
      </c>
    </row>
    <row r="43" spans="2:40" x14ac:dyDescent="0.3">
      <c r="B43" s="15">
        <v>35</v>
      </c>
      <c r="C43" s="18" t="s">
        <v>274</v>
      </c>
      <c r="D43" s="30" t="s">
        <v>109</v>
      </c>
      <c r="E43" s="18" t="s">
        <v>72</v>
      </c>
      <c r="F43" s="18"/>
      <c r="G43" s="18">
        <v>1</v>
      </c>
      <c r="H43" s="18" t="s">
        <v>95</v>
      </c>
      <c r="I43" s="18">
        <v>2.84</v>
      </c>
      <c r="J43" s="15">
        <v>17698</v>
      </c>
      <c r="K43" s="22">
        <f t="shared" si="15"/>
        <v>72880.364000000001</v>
      </c>
      <c r="L43" s="22"/>
      <c r="M43" s="25"/>
      <c r="N43" s="22"/>
      <c r="O43" s="22"/>
      <c r="P43" s="22"/>
      <c r="Q43" s="22"/>
      <c r="R43" s="25"/>
      <c r="S43" s="25"/>
      <c r="T43" s="25"/>
      <c r="U43" s="25"/>
      <c r="V43" s="25"/>
      <c r="W43" s="25"/>
      <c r="X43" s="25"/>
      <c r="Y43" s="22">
        <f>(L43+K43)*10%</f>
        <v>7288.0364000000009</v>
      </c>
      <c r="Z43" s="23">
        <v>1</v>
      </c>
      <c r="AA43" s="23">
        <f>4313*Z43</f>
        <v>4313</v>
      </c>
      <c r="AB43" s="22">
        <f>AA43+Y43+X43+W43+S43+R43+Q43+P43+O43+N43+L43+V43+U43+M43+T43</f>
        <v>11601.036400000001</v>
      </c>
      <c r="AC43" s="22">
        <f>AB43+K43</f>
        <v>84481.400399999999</v>
      </c>
      <c r="AD43" s="22">
        <f>AC43-AC43*10%-AA43</f>
        <v>71720.26036</v>
      </c>
      <c r="AE43" s="22">
        <f>AD43*6%</f>
        <v>4303.2156216000003</v>
      </c>
      <c r="AF43" s="22">
        <f>AD43*3.5%</f>
        <v>2510.2091126</v>
      </c>
      <c r="AG43" s="22">
        <f>AC43*3%</f>
        <v>2534.442012</v>
      </c>
      <c r="AH43" s="22">
        <f>K43+L43</f>
        <v>72880.364000000001</v>
      </c>
      <c r="AI43" s="24">
        <f t="shared" si="11"/>
        <v>1013.7768048</v>
      </c>
      <c r="AJ43" s="24">
        <f>(AE43/1000)*12</f>
        <v>51.638587459200011</v>
      </c>
      <c r="AK43" s="24">
        <f>(AF43/1000)*12</f>
        <v>30.122509351200002</v>
      </c>
      <c r="AL43" s="24">
        <f>(AG43/1000)*12</f>
        <v>30.413304144000001</v>
      </c>
      <c r="AM43" s="24">
        <f>AH43/1000</f>
        <v>72.880364</v>
      </c>
      <c r="AN43" s="24">
        <f>AM43+AL43+AK43+AJ43+AI43</f>
        <v>1198.8315697544001</v>
      </c>
    </row>
    <row r="44" spans="2:40" s="9" customFormat="1" ht="14.5" x14ac:dyDescent="0.35">
      <c r="B44" s="36"/>
      <c r="C44" s="37" t="s">
        <v>110</v>
      </c>
      <c r="D44" s="38"/>
      <c r="E44" s="38"/>
      <c r="F44" s="38"/>
      <c r="G44" s="38">
        <f>SUM(G8:G43)</f>
        <v>30.25</v>
      </c>
      <c r="H44" s="38"/>
      <c r="I44" s="38"/>
      <c r="J44" s="38"/>
      <c r="K44" s="39">
        <f>SUM(K8:K43)</f>
        <v>3090433.4401250011</v>
      </c>
      <c r="L44" s="39">
        <f t="shared" ref="L44:AN44" si="39">SUM(L8:L43)</f>
        <v>438393.40218750003</v>
      </c>
      <c r="M44" s="39">
        <f t="shared" si="39"/>
        <v>0</v>
      </c>
      <c r="N44" s="39">
        <f t="shared" si="39"/>
        <v>2654.5</v>
      </c>
      <c r="O44" s="39">
        <f t="shared" si="39"/>
        <v>9732.25</v>
      </c>
      <c r="P44" s="39">
        <f t="shared" si="39"/>
        <v>7963.5</v>
      </c>
      <c r="Q44" s="39">
        <f t="shared" si="39"/>
        <v>5309</v>
      </c>
      <c r="R44" s="39">
        <f t="shared" si="39"/>
        <v>61425.382731021105</v>
      </c>
      <c r="S44" s="39">
        <f t="shared" si="39"/>
        <v>0</v>
      </c>
      <c r="T44" s="39">
        <f t="shared" si="39"/>
        <v>0</v>
      </c>
      <c r="U44" s="39">
        <f t="shared" si="39"/>
        <v>0</v>
      </c>
      <c r="V44" s="39">
        <f t="shared" si="39"/>
        <v>0</v>
      </c>
      <c r="W44" s="39">
        <f t="shared" si="39"/>
        <v>18447.287557603682</v>
      </c>
      <c r="X44" s="39">
        <f t="shared" si="39"/>
        <v>5309.0999999999995</v>
      </c>
      <c r="Y44" s="39">
        <f t="shared" si="39"/>
        <v>352882.68423124985</v>
      </c>
      <c r="Z44" s="39">
        <f t="shared" si="39"/>
        <v>30</v>
      </c>
      <c r="AA44" s="39">
        <f t="shared" si="39"/>
        <v>129389.5</v>
      </c>
      <c r="AB44" s="39">
        <f t="shared" si="39"/>
        <v>1031506.6067073747</v>
      </c>
      <c r="AC44" s="39">
        <f t="shared" si="39"/>
        <v>4121940.0468323757</v>
      </c>
      <c r="AD44" s="39">
        <f t="shared" si="39"/>
        <v>3580356.5421491391</v>
      </c>
      <c r="AE44" s="39">
        <f t="shared" si="39"/>
        <v>214821.39252894814</v>
      </c>
      <c r="AF44" s="39">
        <f t="shared" si="39"/>
        <v>125312.4789752198</v>
      </c>
      <c r="AG44" s="39">
        <f t="shared" si="39"/>
        <v>123658.20140497125</v>
      </c>
      <c r="AH44" s="39">
        <f t="shared" si="39"/>
        <v>3528826.8423125008</v>
      </c>
      <c r="AI44" s="39">
        <f t="shared" si="39"/>
        <v>49463.280561988497</v>
      </c>
      <c r="AJ44" s="39">
        <f t="shared" si="39"/>
        <v>2577.8567103473788</v>
      </c>
      <c r="AK44" s="39">
        <f t="shared" si="39"/>
        <v>1503.7497477026379</v>
      </c>
      <c r="AL44" s="39">
        <f t="shared" si="39"/>
        <v>1483.8984168596546</v>
      </c>
      <c r="AM44" s="39">
        <f t="shared" si="39"/>
        <v>3528.8268423125005</v>
      </c>
      <c r="AN44" s="39">
        <f t="shared" si="39"/>
        <v>58557.612279210662</v>
      </c>
    </row>
    <row r="45" spans="2:40" s="9" customFormat="1" ht="14.5" x14ac:dyDescent="0.35">
      <c r="B45" s="40"/>
      <c r="C45" s="41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2:40" x14ac:dyDescent="0.3">
      <c r="D46" s="44" t="s">
        <v>111</v>
      </c>
      <c r="E46" s="45"/>
      <c r="F46" s="45" t="s">
        <v>112</v>
      </c>
      <c r="G46" s="7"/>
      <c r="AC46" s="4"/>
      <c r="AI46" s="4"/>
      <c r="AJ46" s="4"/>
      <c r="AK46" s="4"/>
      <c r="AL46" s="4"/>
    </row>
    <row r="47" spans="2:40" x14ac:dyDescent="0.3">
      <c r="D47" s="44"/>
      <c r="E47" s="45"/>
      <c r="F47" s="45"/>
      <c r="G47" s="7"/>
      <c r="AC47" s="4"/>
      <c r="AI47" s="4"/>
      <c r="AJ47" s="4"/>
      <c r="AK47" s="4"/>
      <c r="AL47" s="4"/>
    </row>
    <row r="48" spans="2:40" x14ac:dyDescent="0.3">
      <c r="D48" s="44" t="s">
        <v>113</v>
      </c>
      <c r="E48" s="45"/>
      <c r="F48" s="45" t="s">
        <v>114</v>
      </c>
      <c r="G48" s="7"/>
      <c r="AL48" s="4"/>
      <c r="AN48" s="4"/>
    </row>
  </sheetData>
  <mergeCells count="37">
    <mergeCell ref="H5:H7"/>
    <mergeCell ref="C5:C7"/>
    <mergeCell ref="D5:D7"/>
    <mergeCell ref="E5:E7"/>
    <mergeCell ref="F5:F7"/>
    <mergeCell ref="G5:G7"/>
    <mergeCell ref="U5:U7"/>
    <mergeCell ref="I5:I7"/>
    <mergeCell ref="J5:J7"/>
    <mergeCell ref="K5:K7"/>
    <mergeCell ref="L5:L6"/>
    <mergeCell ref="M5:M7"/>
    <mergeCell ref="N5:N6"/>
    <mergeCell ref="O5:P6"/>
    <mergeCell ref="Q5:Q7"/>
    <mergeCell ref="R5:R7"/>
    <mergeCell ref="S5:S7"/>
    <mergeCell ref="T5:T7"/>
    <mergeCell ref="AH5:AH7"/>
    <mergeCell ref="V5:V7"/>
    <mergeCell ref="W5:W7"/>
    <mergeCell ref="X5:X7"/>
    <mergeCell ref="Y5:Y6"/>
    <mergeCell ref="Z5:AA6"/>
    <mergeCell ref="AB5:AB7"/>
    <mergeCell ref="AC5:AC7"/>
    <mergeCell ref="AD5:AD7"/>
    <mergeCell ref="AE5:AE7"/>
    <mergeCell ref="AF5:AF7"/>
    <mergeCell ref="AG5:AG7"/>
    <mergeCell ref="AI5:AN5"/>
    <mergeCell ref="AI6:AI7"/>
    <mergeCell ref="AJ6:AJ7"/>
    <mergeCell ref="AK6:AK7"/>
    <mergeCell ref="AL6:AL7"/>
    <mergeCell ref="AM6:AM7"/>
    <mergeCell ref="AN6:AN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M45"/>
  <sheetViews>
    <sheetView topLeftCell="AI25" workbookViewId="0">
      <selection sqref="A1:BL46"/>
    </sheetView>
  </sheetViews>
  <sheetFormatPr defaultColWidth="9" defaultRowHeight="11.5" x14ac:dyDescent="0.25"/>
  <cols>
    <col min="1" max="1" width="6.7265625" style="7" customWidth="1"/>
    <col min="2" max="2" width="3.81640625" style="7" customWidth="1"/>
    <col min="3" max="3" width="21.26953125" style="7" customWidth="1"/>
    <col min="4" max="4" width="6.54296875" style="7" customWidth="1"/>
    <col min="5" max="5" width="25.7265625" style="7" customWidth="1"/>
    <col min="6" max="6" width="6" style="7" customWidth="1"/>
    <col min="7" max="7" width="13.1796875" style="7" customWidth="1"/>
    <col min="8" max="8" width="18.54296875" style="7" customWidth="1"/>
    <col min="9" max="9" width="4.7265625" style="7" customWidth="1"/>
    <col min="10" max="10" width="8.81640625" style="7" customWidth="1"/>
    <col min="11" max="11" width="6.453125" style="7" customWidth="1"/>
    <col min="12" max="12" width="5.81640625" style="7" customWidth="1"/>
    <col min="13" max="13" width="8.7265625" style="7" customWidth="1"/>
    <col min="14" max="14" width="6.7265625" style="7" customWidth="1"/>
    <col min="15" max="15" width="5.1796875" style="7" customWidth="1"/>
    <col min="16" max="16" width="4.81640625" style="7" customWidth="1"/>
    <col min="17" max="17" width="4.7265625" style="7" customWidth="1"/>
    <col min="18" max="19" width="7.453125" style="7" customWidth="1"/>
    <col min="20" max="20" width="6.54296875" style="7" customWidth="1"/>
    <col min="21" max="21" width="8.26953125" style="7" customWidth="1"/>
    <col min="22" max="22" width="8.1796875" style="7" customWidth="1"/>
    <col min="23" max="23" width="3.7265625" style="7" customWidth="1"/>
    <col min="24" max="24" width="3.26953125" style="7" customWidth="1"/>
    <col min="25" max="25" width="2.453125" style="7" customWidth="1"/>
    <col min="26" max="27" width="5.7265625" style="7" customWidth="1"/>
    <col min="28" max="28" width="4.54296875" style="7" customWidth="1"/>
    <col min="29" max="29" width="6.1796875" style="7" customWidth="1"/>
    <col min="30" max="30" width="4.54296875" style="7" customWidth="1"/>
    <col min="31" max="31" width="7.1796875" style="7" customWidth="1"/>
    <col min="32" max="32" width="6.453125" style="7" customWidth="1"/>
    <col min="33" max="33" width="5.81640625" style="7" customWidth="1"/>
    <col min="34" max="34" width="4.81640625" style="7" customWidth="1"/>
    <col min="35" max="35" width="5.26953125" style="7" customWidth="1"/>
    <col min="36" max="36" width="3.1796875" style="7" customWidth="1"/>
    <col min="37" max="37" width="2.54296875" style="7" customWidth="1"/>
    <col min="38" max="38" width="4.453125" style="7" customWidth="1"/>
    <col min="39" max="39" width="6.54296875" style="7" customWidth="1"/>
    <col min="40" max="40" width="3.7265625" style="7" customWidth="1"/>
    <col min="41" max="41" width="3.81640625" style="7" customWidth="1"/>
    <col min="42" max="42" width="4.81640625" style="7" customWidth="1"/>
    <col min="43" max="43" width="5.54296875" style="7" customWidth="1"/>
    <col min="44" max="44" width="6.81640625" style="7" customWidth="1"/>
    <col min="45" max="45" width="7" style="7" customWidth="1"/>
    <col min="46" max="46" width="4.1796875" style="7" customWidth="1"/>
    <col min="47" max="47" width="6.81640625" style="7" customWidth="1"/>
    <col min="48" max="48" width="7.1796875" style="7" customWidth="1"/>
    <col min="49" max="49" width="6.453125" style="7" customWidth="1"/>
    <col min="50" max="50" width="5.81640625" style="7" customWidth="1"/>
    <col min="51" max="52" width="7.7265625" style="7" customWidth="1"/>
    <col min="53" max="53" width="7.1796875" style="7" customWidth="1"/>
    <col min="54" max="54" width="6.54296875" style="7" customWidth="1"/>
    <col min="55" max="55" width="6.26953125" style="7" customWidth="1"/>
    <col min="56" max="56" width="6.453125" style="7" customWidth="1"/>
    <col min="57" max="57" width="7.26953125" style="7" customWidth="1"/>
    <col min="58" max="58" width="7" style="7" customWidth="1"/>
    <col min="59" max="59" width="5.7265625" style="7" customWidth="1"/>
    <col min="60" max="60" width="5" style="7" customWidth="1"/>
    <col min="61" max="61" width="4.1796875" style="7" customWidth="1"/>
    <col min="62" max="62" width="5.26953125" style="7" customWidth="1"/>
    <col min="63" max="63" width="4.26953125" style="7" customWidth="1"/>
    <col min="64" max="64" width="5.1796875" style="7" customWidth="1"/>
    <col min="65" max="16384" width="9" style="7"/>
  </cols>
  <sheetData>
    <row r="3" spans="2:65" ht="13" x14ac:dyDescent="0.3">
      <c r="C3" s="46" t="s">
        <v>278</v>
      </c>
      <c r="D3" s="47"/>
      <c r="E3" s="9"/>
      <c r="AV3" s="7" t="s">
        <v>281</v>
      </c>
      <c r="AZ3" s="130"/>
      <c r="BA3" s="130"/>
      <c r="BB3" s="130"/>
      <c r="BC3" s="130"/>
      <c r="BD3" s="130"/>
      <c r="BE3" s="130"/>
    </row>
    <row r="4" spans="2:65" ht="13" x14ac:dyDescent="0.3">
      <c r="C4" s="46" t="s">
        <v>1</v>
      </c>
      <c r="D4" s="47"/>
      <c r="E4" s="9"/>
      <c r="AV4" s="7" t="s">
        <v>282</v>
      </c>
    </row>
    <row r="5" spans="2:65" ht="13" x14ac:dyDescent="0.3">
      <c r="C5" s="46"/>
      <c r="D5" s="47"/>
      <c r="E5" s="9"/>
    </row>
    <row r="6" spans="2:65" ht="13" x14ac:dyDescent="0.3">
      <c r="F6" s="48" t="s">
        <v>232</v>
      </c>
      <c r="AJ6" s="49"/>
    </row>
    <row r="7" spans="2:65" x14ac:dyDescent="0.25">
      <c r="F7" s="48"/>
      <c r="AJ7" s="49"/>
    </row>
    <row r="8" spans="2:65" s="51" customFormat="1" ht="11.5" customHeight="1" x14ac:dyDescent="0.35">
      <c r="B8" s="181" t="s">
        <v>2</v>
      </c>
      <c r="C8" s="181" t="s">
        <v>3</v>
      </c>
      <c r="D8" s="161" t="s">
        <v>4</v>
      </c>
      <c r="E8" s="152" t="s">
        <v>116</v>
      </c>
      <c r="F8" s="152" t="s">
        <v>117</v>
      </c>
      <c r="G8" s="152" t="s">
        <v>118</v>
      </c>
      <c r="H8" s="152" t="s">
        <v>119</v>
      </c>
      <c r="I8" s="152" t="s">
        <v>120</v>
      </c>
      <c r="J8" s="152" t="s">
        <v>121</v>
      </c>
      <c r="K8" s="182" t="s">
        <v>8</v>
      </c>
      <c r="L8" s="182" t="s">
        <v>9</v>
      </c>
      <c r="M8" s="182" t="s">
        <v>122</v>
      </c>
      <c r="N8" s="154" t="s">
        <v>123</v>
      </c>
      <c r="O8" s="154"/>
      <c r="P8" s="154"/>
      <c r="Q8" s="154"/>
      <c r="R8" s="183" t="s">
        <v>124</v>
      </c>
      <c r="S8" s="184"/>
      <c r="T8" s="184"/>
      <c r="U8" s="185"/>
      <c r="V8" s="154" t="s">
        <v>125</v>
      </c>
      <c r="W8" s="154" t="s">
        <v>126</v>
      </c>
      <c r="X8" s="154"/>
      <c r="Y8" s="154"/>
      <c r="Z8" s="154"/>
      <c r="AA8" s="154"/>
      <c r="AB8" s="154"/>
      <c r="AC8" s="154"/>
      <c r="AD8" s="154" t="s">
        <v>127</v>
      </c>
      <c r="AE8" s="154" t="s">
        <v>128</v>
      </c>
      <c r="AF8" s="154" t="s">
        <v>129</v>
      </c>
      <c r="AG8" s="154" t="s">
        <v>130</v>
      </c>
      <c r="AH8" s="154" t="s">
        <v>13</v>
      </c>
      <c r="AI8" s="154" t="s">
        <v>277</v>
      </c>
      <c r="AJ8" s="149" t="s">
        <v>131</v>
      </c>
      <c r="AK8" s="151"/>
      <c r="AL8" s="154" t="s">
        <v>132</v>
      </c>
      <c r="AM8" s="152" t="s">
        <v>60</v>
      </c>
      <c r="AN8" s="154" t="s">
        <v>133</v>
      </c>
      <c r="AO8" s="154" t="s">
        <v>20</v>
      </c>
      <c r="AP8" s="154" t="s">
        <v>25</v>
      </c>
      <c r="AQ8" s="154"/>
      <c r="AR8" s="154" t="s">
        <v>134</v>
      </c>
      <c r="AS8" s="149" t="s">
        <v>135</v>
      </c>
      <c r="AT8" s="150"/>
      <c r="AU8" s="150"/>
      <c r="AV8" s="150"/>
      <c r="AW8" s="151"/>
      <c r="AX8" s="152" t="s">
        <v>136</v>
      </c>
      <c r="AY8" s="154" t="s">
        <v>137</v>
      </c>
      <c r="AZ8" s="154" t="s">
        <v>138</v>
      </c>
      <c r="BA8" s="181"/>
      <c r="BB8" s="161">
        <v>121</v>
      </c>
      <c r="BC8" s="161">
        <v>122</v>
      </c>
      <c r="BD8" s="161">
        <v>124</v>
      </c>
      <c r="BE8" s="161">
        <v>113</v>
      </c>
      <c r="BF8" s="152" t="s">
        <v>33</v>
      </c>
      <c r="BG8" s="149" t="s">
        <v>32</v>
      </c>
      <c r="BH8" s="150"/>
      <c r="BI8" s="150"/>
      <c r="BJ8" s="150"/>
      <c r="BK8" s="150"/>
      <c r="BL8" s="151"/>
      <c r="BM8" s="50"/>
    </row>
    <row r="9" spans="2:65" s="51" customFormat="1" ht="24.75" customHeight="1" x14ac:dyDescent="0.35">
      <c r="B9" s="181"/>
      <c r="C9" s="181"/>
      <c r="D9" s="162"/>
      <c r="E9" s="155"/>
      <c r="F9" s="155"/>
      <c r="G9" s="155"/>
      <c r="H9" s="155"/>
      <c r="I9" s="155"/>
      <c r="J9" s="155"/>
      <c r="K9" s="182"/>
      <c r="L9" s="182"/>
      <c r="M9" s="182"/>
      <c r="N9" s="193" t="s">
        <v>110</v>
      </c>
      <c r="O9" s="193" t="s">
        <v>139</v>
      </c>
      <c r="P9" s="193" t="s">
        <v>140</v>
      </c>
      <c r="Q9" s="193" t="s">
        <v>141</v>
      </c>
      <c r="R9" s="189" t="s">
        <v>139</v>
      </c>
      <c r="S9" s="189" t="s">
        <v>140</v>
      </c>
      <c r="T9" s="189" t="s">
        <v>141</v>
      </c>
      <c r="U9" s="161" t="s">
        <v>33</v>
      </c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86"/>
      <c r="AK9" s="187"/>
      <c r="AL9" s="154"/>
      <c r="AM9" s="155"/>
      <c r="AN9" s="154"/>
      <c r="AO9" s="154"/>
      <c r="AP9" s="154"/>
      <c r="AQ9" s="154"/>
      <c r="AR9" s="154"/>
      <c r="AS9" s="186"/>
      <c r="AT9" s="192"/>
      <c r="AU9" s="192"/>
      <c r="AV9" s="192"/>
      <c r="AW9" s="187"/>
      <c r="AX9" s="155"/>
      <c r="AY9" s="154"/>
      <c r="AZ9" s="154"/>
      <c r="BA9" s="181"/>
      <c r="BB9" s="162"/>
      <c r="BC9" s="162"/>
      <c r="BD9" s="162"/>
      <c r="BE9" s="162"/>
      <c r="BF9" s="155"/>
      <c r="BG9" s="156"/>
      <c r="BH9" s="188"/>
      <c r="BI9" s="188"/>
      <c r="BJ9" s="188"/>
      <c r="BK9" s="188"/>
      <c r="BL9" s="157"/>
    </row>
    <row r="10" spans="2:65" s="51" customFormat="1" x14ac:dyDescent="0.35">
      <c r="B10" s="181"/>
      <c r="C10" s="181"/>
      <c r="D10" s="162"/>
      <c r="E10" s="155"/>
      <c r="F10" s="155"/>
      <c r="G10" s="155"/>
      <c r="H10" s="155"/>
      <c r="I10" s="155"/>
      <c r="J10" s="155"/>
      <c r="K10" s="182"/>
      <c r="L10" s="182"/>
      <c r="M10" s="182"/>
      <c r="N10" s="193"/>
      <c r="O10" s="193"/>
      <c r="P10" s="193"/>
      <c r="Q10" s="193"/>
      <c r="R10" s="190"/>
      <c r="S10" s="190"/>
      <c r="T10" s="190"/>
      <c r="U10" s="162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86"/>
      <c r="AK10" s="187"/>
      <c r="AL10" s="154"/>
      <c r="AM10" s="155"/>
      <c r="AN10" s="154"/>
      <c r="AO10" s="154"/>
      <c r="AP10" s="154"/>
      <c r="AQ10" s="154"/>
      <c r="AR10" s="154"/>
      <c r="AS10" s="156"/>
      <c r="AT10" s="188"/>
      <c r="AU10" s="188"/>
      <c r="AV10" s="188"/>
      <c r="AW10" s="157"/>
      <c r="AX10" s="155"/>
      <c r="AY10" s="154"/>
      <c r="AZ10" s="154"/>
      <c r="BA10" s="181"/>
      <c r="BB10" s="162"/>
      <c r="BC10" s="162"/>
      <c r="BD10" s="162"/>
      <c r="BE10" s="162"/>
      <c r="BF10" s="155"/>
      <c r="BG10" s="129"/>
      <c r="BH10" s="52"/>
      <c r="BI10" s="52"/>
      <c r="BJ10" s="52"/>
      <c r="BK10" s="52"/>
      <c r="BL10" s="53"/>
    </row>
    <row r="11" spans="2:65" s="51" customFormat="1" ht="25.5" customHeight="1" x14ac:dyDescent="0.35">
      <c r="B11" s="181"/>
      <c r="C11" s="181"/>
      <c r="D11" s="162"/>
      <c r="E11" s="155"/>
      <c r="F11" s="155"/>
      <c r="G11" s="155"/>
      <c r="H11" s="155"/>
      <c r="I11" s="155"/>
      <c r="J11" s="155"/>
      <c r="K11" s="182"/>
      <c r="L11" s="182"/>
      <c r="M11" s="182"/>
      <c r="N11" s="193"/>
      <c r="O11" s="193"/>
      <c r="P11" s="193"/>
      <c r="Q11" s="193"/>
      <c r="R11" s="190"/>
      <c r="S11" s="190"/>
      <c r="T11" s="190"/>
      <c r="U11" s="162"/>
      <c r="V11" s="154"/>
      <c r="W11" s="181" t="s">
        <v>142</v>
      </c>
      <c r="X11" s="181"/>
      <c r="Y11" s="181"/>
      <c r="Z11" s="181" t="s">
        <v>143</v>
      </c>
      <c r="AA11" s="181"/>
      <c r="AB11" s="181"/>
      <c r="AC11" s="181" t="s">
        <v>33</v>
      </c>
      <c r="AD11" s="154"/>
      <c r="AE11" s="154"/>
      <c r="AF11" s="154"/>
      <c r="AG11" s="154"/>
      <c r="AH11" s="154"/>
      <c r="AI11" s="154"/>
      <c r="AJ11" s="186"/>
      <c r="AK11" s="187"/>
      <c r="AL11" s="154"/>
      <c r="AM11" s="155"/>
      <c r="AN11" s="154"/>
      <c r="AO11" s="154"/>
      <c r="AP11" s="154"/>
      <c r="AQ11" s="154"/>
      <c r="AR11" s="154"/>
      <c r="AS11" s="152" t="s">
        <v>144</v>
      </c>
      <c r="AT11" s="152" t="s">
        <v>145</v>
      </c>
      <c r="AU11" s="152" t="s">
        <v>146</v>
      </c>
      <c r="AV11" s="152" t="s">
        <v>147</v>
      </c>
      <c r="AW11" s="161" t="s">
        <v>33</v>
      </c>
      <c r="AX11" s="155"/>
      <c r="AY11" s="154"/>
      <c r="AZ11" s="154"/>
      <c r="BA11" s="181"/>
      <c r="BB11" s="162"/>
      <c r="BC11" s="162"/>
      <c r="BD11" s="162"/>
      <c r="BE11" s="162"/>
      <c r="BF11" s="155"/>
      <c r="BG11" s="129"/>
      <c r="BH11" s="52"/>
      <c r="BI11" s="52"/>
      <c r="BJ11" s="52"/>
      <c r="BK11" s="52"/>
      <c r="BL11" s="53"/>
    </row>
    <row r="12" spans="2:65" s="51" customFormat="1" ht="57.5" x14ac:dyDescent="0.35">
      <c r="B12" s="181"/>
      <c r="C12" s="181"/>
      <c r="D12" s="163"/>
      <c r="E12" s="153"/>
      <c r="F12" s="153"/>
      <c r="G12" s="153"/>
      <c r="H12" s="153"/>
      <c r="I12" s="153"/>
      <c r="J12" s="153"/>
      <c r="K12" s="182"/>
      <c r="L12" s="182"/>
      <c r="M12" s="182"/>
      <c r="N12" s="193"/>
      <c r="O12" s="193"/>
      <c r="P12" s="193"/>
      <c r="Q12" s="193"/>
      <c r="R12" s="191"/>
      <c r="S12" s="191"/>
      <c r="T12" s="191"/>
      <c r="U12" s="163"/>
      <c r="V12" s="154"/>
      <c r="W12" s="114" t="s">
        <v>139</v>
      </c>
      <c r="X12" s="114" t="s">
        <v>140</v>
      </c>
      <c r="Y12" s="114" t="s">
        <v>141</v>
      </c>
      <c r="Z12" s="114" t="s">
        <v>139</v>
      </c>
      <c r="AA12" s="114" t="s">
        <v>140</v>
      </c>
      <c r="AB12" s="114" t="s">
        <v>141</v>
      </c>
      <c r="AC12" s="181"/>
      <c r="AD12" s="154"/>
      <c r="AE12" s="154"/>
      <c r="AF12" s="154"/>
      <c r="AG12" s="154"/>
      <c r="AH12" s="154"/>
      <c r="AI12" s="154"/>
      <c r="AJ12" s="116" t="s">
        <v>148</v>
      </c>
      <c r="AK12" s="54" t="s">
        <v>149</v>
      </c>
      <c r="AL12" s="154"/>
      <c r="AM12" s="153"/>
      <c r="AN12" s="154"/>
      <c r="AO12" s="154"/>
      <c r="AP12" s="116" t="s">
        <v>34</v>
      </c>
      <c r="AQ12" s="116" t="s">
        <v>149</v>
      </c>
      <c r="AR12" s="154"/>
      <c r="AS12" s="153"/>
      <c r="AT12" s="153"/>
      <c r="AU12" s="153"/>
      <c r="AV12" s="153"/>
      <c r="AW12" s="163"/>
      <c r="AX12" s="153"/>
      <c r="AY12" s="154"/>
      <c r="AZ12" s="154"/>
      <c r="BA12" s="181"/>
      <c r="BB12" s="163"/>
      <c r="BC12" s="163"/>
      <c r="BD12" s="163"/>
      <c r="BE12" s="163"/>
      <c r="BF12" s="153"/>
      <c r="BG12" s="128">
        <v>111</v>
      </c>
      <c r="BH12" s="55">
        <v>121</v>
      </c>
      <c r="BI12" s="55">
        <v>122</v>
      </c>
      <c r="BJ12" s="55">
        <v>124</v>
      </c>
      <c r="BK12" s="55">
        <v>113</v>
      </c>
      <c r="BL12" s="56" t="s">
        <v>33</v>
      </c>
    </row>
    <row r="13" spans="2:65" ht="30.75" customHeight="1" x14ac:dyDescent="0.3">
      <c r="B13" s="57">
        <v>1</v>
      </c>
      <c r="C13" s="58" t="s">
        <v>162</v>
      </c>
      <c r="D13" s="18" t="s">
        <v>151</v>
      </c>
      <c r="E13" s="72" t="s">
        <v>163</v>
      </c>
      <c r="F13" s="105">
        <v>17</v>
      </c>
      <c r="G13" s="59" t="s">
        <v>164</v>
      </c>
      <c r="H13" s="60" t="s">
        <v>165</v>
      </c>
      <c r="I13" s="61"/>
      <c r="J13" s="18"/>
      <c r="K13" s="62" t="s">
        <v>166</v>
      </c>
      <c r="L13" s="63">
        <v>5.03</v>
      </c>
      <c r="M13" s="97">
        <f>L13*17697*2</f>
        <v>178031.82</v>
      </c>
      <c r="N13" s="64">
        <f>O13+P13+Q13</f>
        <v>10</v>
      </c>
      <c r="O13" s="63"/>
      <c r="P13" s="65">
        <v>6</v>
      </c>
      <c r="Q13" s="65">
        <v>4</v>
      </c>
      <c r="R13" s="66">
        <f>M13/16*O13</f>
        <v>0</v>
      </c>
      <c r="S13" s="66">
        <f>M13/16*P13</f>
        <v>66761.932499999995</v>
      </c>
      <c r="T13" s="66">
        <f>M13/16*Q13</f>
        <v>44507.955000000002</v>
      </c>
      <c r="U13" s="66">
        <f t="shared" ref="U13:U37" si="0">SUM(R13:T13)</f>
        <v>111269.8875</v>
      </c>
      <c r="V13" s="66">
        <f>U13*25%</f>
        <v>27817.471874999999</v>
      </c>
      <c r="W13" s="68"/>
      <c r="X13" s="106">
        <v>6</v>
      </c>
      <c r="Y13" s="68">
        <v>4</v>
      </c>
      <c r="Z13" s="75">
        <f>17697/18*W13*40%/2</f>
        <v>0</v>
      </c>
      <c r="AA13" s="75">
        <f>17697/16*X13*40%/2</f>
        <v>1327.2750000000001</v>
      </c>
      <c r="AB13" s="75">
        <f>17697/16*Y13*40%/2</f>
        <v>884.85</v>
      </c>
      <c r="AC13" s="66">
        <f t="shared" ref="AC13:AC37" si="1">AB13+AA13+Z13</f>
        <v>2212.125</v>
      </c>
      <c r="AD13" s="66">
        <f>N13</f>
        <v>10</v>
      </c>
      <c r="AE13" s="66">
        <f>(U13+V13)*30%</f>
        <v>41726.207812499997</v>
      </c>
      <c r="AF13" s="75"/>
      <c r="AG13" s="69"/>
      <c r="AH13" s="75">
        <v>3539</v>
      </c>
      <c r="AI13" s="73"/>
      <c r="AJ13" s="66"/>
      <c r="AK13" s="66"/>
      <c r="AL13" s="66"/>
      <c r="AM13" s="75"/>
      <c r="AN13" s="75"/>
      <c r="AO13" s="75"/>
      <c r="AP13" s="75">
        <v>1</v>
      </c>
      <c r="AQ13" s="75">
        <f>4313*AP13</f>
        <v>4313</v>
      </c>
      <c r="AR13" s="66">
        <f>(U13+V13)*10%</f>
        <v>13908.735937500001</v>
      </c>
      <c r="AS13" s="73"/>
      <c r="AT13" s="73"/>
      <c r="AU13" s="73"/>
      <c r="AV13" s="73">
        <f>(U13+V13)*35%</f>
        <v>48680.575781249994</v>
      </c>
      <c r="AW13" s="66">
        <f>AS13+AT13+AU13+AV13</f>
        <v>48680.575781249994</v>
      </c>
      <c r="AX13" s="66"/>
      <c r="AY13" s="66">
        <f t="shared" ref="AY13:AY37" si="2">V13+AC13+AE13+AF13+AG13+AH13+AI13+AM13+AQ13+AR13+AW13+AX13</f>
        <v>142197.11640624999</v>
      </c>
      <c r="AZ13" s="66">
        <f t="shared" ref="AZ13:AZ37" si="3">AY13+U13</f>
        <v>253467.00390625</v>
      </c>
      <c r="BA13" s="66">
        <f>(AZ13-AZ13*10%-AQ13)</f>
        <v>223807.30351562501</v>
      </c>
      <c r="BB13" s="66">
        <f>BA13*6%</f>
        <v>13428.4382109375</v>
      </c>
      <c r="BC13" s="66">
        <f t="shared" ref="BC13:BC37" si="4">BA13*3.5%</f>
        <v>7833.2556230468763</v>
      </c>
      <c r="BD13" s="66">
        <f t="shared" ref="BD13:BD37" si="5">BA13*3%</f>
        <v>6714.2191054687501</v>
      </c>
      <c r="BE13" s="66">
        <f>U13+V13</f>
        <v>139087.359375</v>
      </c>
      <c r="BF13" s="70">
        <f>BB13+BC13+BD13+BE13</f>
        <v>167063.27231445312</v>
      </c>
      <c r="BG13" s="70">
        <f>AZ13*12/1000</f>
        <v>3041.6040468750002</v>
      </c>
      <c r="BH13" s="66">
        <f>BB13*12/1000</f>
        <v>161.14125853125</v>
      </c>
      <c r="BI13" s="66">
        <f>BC13*12/1000</f>
        <v>93.999067476562516</v>
      </c>
      <c r="BJ13" s="66">
        <f>BD13*12/1000</f>
        <v>80.570629265625001</v>
      </c>
      <c r="BK13" s="66">
        <f>(U13+V13)/1000</f>
        <v>139.08735937500001</v>
      </c>
      <c r="BL13" s="70">
        <f>BG13+BH13+BI13+BJ13+BK13</f>
        <v>3516.4023615234382</v>
      </c>
    </row>
    <row r="14" spans="2:65" ht="33" customHeight="1" x14ac:dyDescent="0.3">
      <c r="B14" s="57"/>
      <c r="C14" s="58" t="s">
        <v>162</v>
      </c>
      <c r="D14" s="18" t="s">
        <v>151</v>
      </c>
      <c r="E14" s="72" t="s">
        <v>163</v>
      </c>
      <c r="F14" s="62">
        <v>17</v>
      </c>
      <c r="G14" s="59" t="s">
        <v>167</v>
      </c>
      <c r="H14" s="60" t="s">
        <v>165</v>
      </c>
      <c r="I14" s="61"/>
      <c r="J14" s="18"/>
      <c r="K14" s="62" t="s">
        <v>166</v>
      </c>
      <c r="L14" s="63">
        <v>5.03</v>
      </c>
      <c r="M14" s="97">
        <f>L14*17697*2</f>
        <v>178031.82</v>
      </c>
      <c r="N14" s="64">
        <f t="shared" ref="N14:N40" si="6">O14+P14+Q14</f>
        <v>9</v>
      </c>
      <c r="O14" s="63">
        <v>2.5</v>
      </c>
      <c r="P14" s="74">
        <v>4.5</v>
      </c>
      <c r="Q14" s="74">
        <v>2</v>
      </c>
      <c r="R14" s="66">
        <f>M14/16*O14</f>
        <v>27817.471875000003</v>
      </c>
      <c r="S14" s="66">
        <f>M14/16*P14</f>
        <v>50071.449375000004</v>
      </c>
      <c r="T14" s="66">
        <f>M14/16*Q14</f>
        <v>22253.977500000001</v>
      </c>
      <c r="U14" s="66">
        <f t="shared" si="0"/>
        <v>100142.89875000002</v>
      </c>
      <c r="V14" s="66">
        <f>U14*25%</f>
        <v>25035.724687500006</v>
      </c>
      <c r="W14" s="68"/>
      <c r="X14" s="68"/>
      <c r="Y14" s="68"/>
      <c r="Z14" s="75">
        <f>17697/18*W14*40%/2</f>
        <v>0</v>
      </c>
      <c r="AA14" s="75">
        <f>17697/18*X14*40%</f>
        <v>0</v>
      </c>
      <c r="AB14" s="75">
        <f>17697/16*Y14*40%/2</f>
        <v>0</v>
      </c>
      <c r="AC14" s="66">
        <f t="shared" si="1"/>
        <v>0</v>
      </c>
      <c r="AD14" s="66">
        <f>N14</f>
        <v>9</v>
      </c>
      <c r="AE14" s="66">
        <f>(U14+V14)*30%</f>
        <v>37553.587031250012</v>
      </c>
      <c r="AF14" s="75"/>
      <c r="AG14" s="69"/>
      <c r="AH14" s="75"/>
      <c r="AI14" s="73">
        <f>17697*2</f>
        <v>35394</v>
      </c>
      <c r="AJ14" s="66"/>
      <c r="AK14" s="66"/>
      <c r="AL14" s="66"/>
      <c r="AM14" s="75"/>
      <c r="AN14" s="75"/>
      <c r="AO14" s="75"/>
      <c r="AP14" s="75"/>
      <c r="AQ14" s="75">
        <f>3975*AP14</f>
        <v>0</v>
      </c>
      <c r="AR14" s="66">
        <f>(U14+V14)*10%</f>
        <v>12517.862343750005</v>
      </c>
      <c r="AS14" s="73"/>
      <c r="AT14" s="73"/>
      <c r="AU14" s="73"/>
      <c r="AV14" s="73">
        <f>(U14+V14)*35%</f>
        <v>43812.518203125008</v>
      </c>
      <c r="AW14" s="66">
        <f>AS14+AT14+AU14+AV14</f>
        <v>43812.518203125008</v>
      </c>
      <c r="AX14" s="66"/>
      <c r="AY14" s="66">
        <f t="shared" si="2"/>
        <v>154313.69226562502</v>
      </c>
      <c r="AZ14" s="66">
        <f t="shared" si="3"/>
        <v>254456.59101562505</v>
      </c>
      <c r="BA14" s="66">
        <f t="shared" ref="BA14:BA37" si="7">(AZ14-AZ14*10%-AQ14)</f>
        <v>229010.93191406253</v>
      </c>
      <c r="BB14" s="66">
        <f t="shared" ref="BB14:BB37" si="8">BA14*6%</f>
        <v>13740.655914843752</v>
      </c>
      <c r="BC14" s="66">
        <f t="shared" si="4"/>
        <v>8015.3826169921895</v>
      </c>
      <c r="BD14" s="66">
        <f t="shared" si="5"/>
        <v>6870.3279574218759</v>
      </c>
      <c r="BE14" s="66">
        <f t="shared" ref="BE14:BE37" si="9">U14+V14</f>
        <v>125178.62343750003</v>
      </c>
      <c r="BF14" s="70">
        <f t="shared" ref="BF14:BF37" si="10">BB14+BC14+BD14+BE14</f>
        <v>153804.98992675784</v>
      </c>
      <c r="BG14" s="70">
        <f t="shared" ref="BG14:BG39" si="11">AZ14*12/1000</f>
        <v>3053.4790921875006</v>
      </c>
      <c r="BH14" s="66">
        <f t="shared" ref="BH14:BH39" si="12">BB14*12/1000</f>
        <v>164.88787097812502</v>
      </c>
      <c r="BI14" s="66">
        <f t="shared" ref="BI14:BI39" si="13">BC14*12/1000</f>
        <v>96.184591403906282</v>
      </c>
      <c r="BJ14" s="66">
        <f t="shared" ref="BJ14:BJ39" si="14">BD14*12/1000</f>
        <v>82.443935489062511</v>
      </c>
      <c r="BK14" s="66">
        <f t="shared" ref="BK14:BK39" si="15">(U14+V14)/1000</f>
        <v>125.17862343750004</v>
      </c>
      <c r="BL14" s="70">
        <f t="shared" ref="BL14:BL39" si="16">BG14+BH14+BI14+BJ14+BK14</f>
        <v>3522.1741134960944</v>
      </c>
    </row>
    <row r="15" spans="2:65" ht="27.75" customHeight="1" x14ac:dyDescent="0.3">
      <c r="B15" s="57">
        <v>2</v>
      </c>
      <c r="C15" s="58" t="s">
        <v>150</v>
      </c>
      <c r="D15" s="18" t="s">
        <v>151</v>
      </c>
      <c r="E15" s="72" t="s">
        <v>152</v>
      </c>
      <c r="F15" s="107">
        <v>25.8</v>
      </c>
      <c r="G15" s="59" t="s">
        <v>153</v>
      </c>
      <c r="H15" s="108" t="s">
        <v>242</v>
      </c>
      <c r="I15" s="61"/>
      <c r="J15" s="18"/>
      <c r="K15" s="62" t="s">
        <v>154</v>
      </c>
      <c r="L15" s="63">
        <v>5.41</v>
      </c>
      <c r="M15" s="97">
        <f>L15*17697*2</f>
        <v>191481.54</v>
      </c>
      <c r="N15" s="64">
        <f t="shared" si="6"/>
        <v>8</v>
      </c>
      <c r="O15" s="63"/>
      <c r="P15" s="65">
        <v>8</v>
      </c>
      <c r="Q15" s="65"/>
      <c r="R15" s="66">
        <f>M15/16*O15</f>
        <v>0</v>
      </c>
      <c r="S15" s="66">
        <f>M15/16*P15</f>
        <v>95740.77</v>
      </c>
      <c r="T15" s="66">
        <f>M15/16*Q15</f>
        <v>0</v>
      </c>
      <c r="U15" s="66">
        <f t="shared" si="0"/>
        <v>95740.77</v>
      </c>
      <c r="V15" s="66">
        <f t="shared" ref="V15:V37" si="17">U15*25%</f>
        <v>23935.192500000001</v>
      </c>
      <c r="W15" s="67"/>
      <c r="X15" s="68">
        <v>8</v>
      </c>
      <c r="Y15" s="67"/>
      <c r="Z15" s="75">
        <f>17697/16*W15*40%/2</f>
        <v>0</v>
      </c>
      <c r="AA15" s="75">
        <f>17697/16*8*50%/2</f>
        <v>2212.125</v>
      </c>
      <c r="AB15" s="75">
        <f>17697/18*Y15*40%/2</f>
        <v>0</v>
      </c>
      <c r="AC15" s="66">
        <f t="shared" si="1"/>
        <v>2212.125</v>
      </c>
      <c r="AD15" s="66">
        <f>N15</f>
        <v>8</v>
      </c>
      <c r="AE15" s="66">
        <f t="shared" ref="AE15:AE37" si="18">(U15+V15)*30%</f>
        <v>35902.78875</v>
      </c>
      <c r="AF15" s="75"/>
      <c r="AG15" s="69"/>
      <c r="AH15" s="75"/>
      <c r="AI15" s="67"/>
      <c r="AJ15" s="66"/>
      <c r="AK15" s="66"/>
      <c r="AL15" s="66"/>
      <c r="AM15" s="75"/>
      <c r="AN15" s="75"/>
      <c r="AO15" s="75"/>
      <c r="AP15" s="75"/>
      <c r="AQ15" s="75">
        <f>3975*AP15</f>
        <v>0</v>
      </c>
      <c r="AR15" s="66">
        <f t="shared" ref="AR15:AR37" si="19">(U15+V15)*10%</f>
        <v>11967.596250000002</v>
      </c>
      <c r="AS15" s="73">
        <f>(U15+V15)*40%</f>
        <v>47870.385000000009</v>
      </c>
      <c r="AT15" s="73"/>
      <c r="AU15" s="73"/>
      <c r="AV15" s="73"/>
      <c r="AW15" s="66">
        <f>AS15+AT15+AU15+AV15</f>
        <v>47870.385000000009</v>
      </c>
      <c r="AX15" s="66"/>
      <c r="AY15" s="66">
        <f t="shared" si="2"/>
        <v>121888.08750000001</v>
      </c>
      <c r="AZ15" s="66">
        <f t="shared" si="3"/>
        <v>217628.85750000001</v>
      </c>
      <c r="BA15" s="66">
        <f t="shared" si="7"/>
        <v>195865.97175000003</v>
      </c>
      <c r="BB15" s="66">
        <f t="shared" si="8"/>
        <v>11751.958305000002</v>
      </c>
      <c r="BC15" s="66">
        <f t="shared" si="4"/>
        <v>6855.3090112500013</v>
      </c>
      <c r="BD15" s="66">
        <f t="shared" si="5"/>
        <v>5875.979152500001</v>
      </c>
      <c r="BE15" s="66">
        <f t="shared" si="9"/>
        <v>119675.96250000001</v>
      </c>
      <c r="BF15" s="70">
        <f t="shared" si="10"/>
        <v>144159.20896875003</v>
      </c>
      <c r="BG15" s="70">
        <f t="shared" si="11"/>
        <v>2611.5462900000002</v>
      </c>
      <c r="BH15" s="66">
        <f t="shared" si="12"/>
        <v>141.02349966000003</v>
      </c>
      <c r="BI15" s="66">
        <f t="shared" si="13"/>
        <v>82.263708135000016</v>
      </c>
      <c r="BJ15" s="66">
        <f t="shared" si="14"/>
        <v>70.511749830000014</v>
      </c>
      <c r="BK15" s="66">
        <f t="shared" si="15"/>
        <v>119.67596250000001</v>
      </c>
      <c r="BL15" s="70">
        <f t="shared" si="16"/>
        <v>3025.0212101250004</v>
      </c>
    </row>
    <row r="16" spans="2:65" ht="30" customHeight="1" x14ac:dyDescent="0.3">
      <c r="B16" s="57">
        <v>3</v>
      </c>
      <c r="C16" s="58" t="s">
        <v>155</v>
      </c>
      <c r="D16" s="18" t="s">
        <v>151</v>
      </c>
      <c r="E16" s="72" t="s">
        <v>156</v>
      </c>
      <c r="F16" s="62">
        <v>29.7</v>
      </c>
      <c r="G16" s="59" t="s">
        <v>157</v>
      </c>
      <c r="H16" s="108" t="s">
        <v>234</v>
      </c>
      <c r="I16" s="61"/>
      <c r="J16" s="18"/>
      <c r="K16" s="62" t="s">
        <v>154</v>
      </c>
      <c r="L16" s="63">
        <v>5.41</v>
      </c>
      <c r="M16" s="97">
        <f t="shared" ref="M16:M37" si="20">L16*17697*2</f>
        <v>191481.54</v>
      </c>
      <c r="N16" s="64">
        <f t="shared" si="6"/>
        <v>8</v>
      </c>
      <c r="O16" s="63">
        <v>8</v>
      </c>
      <c r="P16" s="65"/>
      <c r="Q16" s="65"/>
      <c r="R16" s="66">
        <f t="shared" ref="R16:R37" si="21">M16/16*O16</f>
        <v>95740.77</v>
      </c>
      <c r="S16" s="66">
        <f t="shared" ref="S16:S37" si="22">M16/16*P16</f>
        <v>0</v>
      </c>
      <c r="T16" s="66">
        <f t="shared" ref="T16:T37" si="23">M16/16*Q16</f>
        <v>0</v>
      </c>
      <c r="U16" s="66">
        <f t="shared" si="0"/>
        <v>95740.77</v>
      </c>
      <c r="V16" s="66">
        <f t="shared" si="17"/>
        <v>23935.192500000001</v>
      </c>
      <c r="W16" s="68">
        <v>5</v>
      </c>
      <c r="X16" s="67"/>
      <c r="Y16" s="67"/>
      <c r="Z16" s="75">
        <f>17697/16*W16*40%/2</f>
        <v>1106.0625</v>
      </c>
      <c r="AA16" s="75"/>
      <c r="AB16" s="75">
        <f>17697/18*Y16*40%/2</f>
        <v>0</v>
      </c>
      <c r="AC16" s="66">
        <f t="shared" si="1"/>
        <v>1106.0625</v>
      </c>
      <c r="AD16" s="66">
        <f t="shared" ref="AD16:AD37" si="24">N16</f>
        <v>8</v>
      </c>
      <c r="AE16" s="66">
        <f t="shared" si="18"/>
        <v>35902.78875</v>
      </c>
      <c r="AF16" s="75"/>
      <c r="AG16" s="69"/>
      <c r="AH16" s="75"/>
      <c r="AI16" s="67"/>
      <c r="AJ16" s="66"/>
      <c r="AK16" s="66"/>
      <c r="AL16" s="66"/>
      <c r="AM16" s="75"/>
      <c r="AN16" s="75"/>
      <c r="AO16" s="75"/>
      <c r="AP16" s="75"/>
      <c r="AQ16" s="75">
        <f>3975*AP16</f>
        <v>0</v>
      </c>
      <c r="AR16" s="66">
        <f t="shared" si="19"/>
        <v>11967.596250000002</v>
      </c>
      <c r="AS16" s="73">
        <f>(U16+V16)*40%</f>
        <v>47870.385000000009</v>
      </c>
      <c r="AT16" s="73"/>
      <c r="AU16" s="73"/>
      <c r="AV16" s="73"/>
      <c r="AW16" s="66">
        <f t="shared" ref="AW16:AW37" si="25">AS16+AT16+AU16+AV16</f>
        <v>47870.385000000009</v>
      </c>
      <c r="AX16" s="66"/>
      <c r="AY16" s="66">
        <f t="shared" si="2"/>
        <v>120782.02500000001</v>
      </c>
      <c r="AZ16" s="66">
        <f t="shared" si="3"/>
        <v>216522.79500000001</v>
      </c>
      <c r="BA16" s="66">
        <f t="shared" si="7"/>
        <v>194870.51550000001</v>
      </c>
      <c r="BB16" s="66">
        <f t="shared" si="8"/>
        <v>11692.23093</v>
      </c>
      <c r="BC16" s="66">
        <f t="shared" si="4"/>
        <v>6820.4680425000006</v>
      </c>
      <c r="BD16" s="66">
        <f t="shared" si="5"/>
        <v>5846.1154649999999</v>
      </c>
      <c r="BE16" s="66">
        <f t="shared" si="9"/>
        <v>119675.96250000001</v>
      </c>
      <c r="BF16" s="70">
        <f t="shared" si="10"/>
        <v>144034.77693750002</v>
      </c>
      <c r="BG16" s="70">
        <f t="shared" si="11"/>
        <v>2598.2735400000001</v>
      </c>
      <c r="BH16" s="66">
        <f t="shared" si="12"/>
        <v>140.30677116000001</v>
      </c>
      <c r="BI16" s="66">
        <f t="shared" si="13"/>
        <v>81.845616510000013</v>
      </c>
      <c r="BJ16" s="66">
        <f t="shared" si="14"/>
        <v>70.153385580000005</v>
      </c>
      <c r="BK16" s="66">
        <f t="shared" si="15"/>
        <v>119.67596250000001</v>
      </c>
      <c r="BL16" s="70">
        <f t="shared" si="16"/>
        <v>3010.2552757500002</v>
      </c>
    </row>
    <row r="17" spans="2:64" ht="24" customHeight="1" x14ac:dyDescent="0.3">
      <c r="B17" s="57">
        <v>4</v>
      </c>
      <c r="C17" s="58" t="s">
        <v>158</v>
      </c>
      <c r="D17" s="18" t="s">
        <v>151</v>
      </c>
      <c r="E17" s="98" t="s">
        <v>159</v>
      </c>
      <c r="F17" s="109" t="s">
        <v>257</v>
      </c>
      <c r="G17" s="59" t="s">
        <v>245</v>
      </c>
      <c r="H17" s="108" t="s">
        <v>236</v>
      </c>
      <c r="I17" s="61"/>
      <c r="J17" s="18"/>
      <c r="K17" s="62" t="s">
        <v>160</v>
      </c>
      <c r="L17" s="63">
        <v>5.41</v>
      </c>
      <c r="M17" s="97">
        <f t="shared" si="20"/>
        <v>191481.54</v>
      </c>
      <c r="N17" s="64">
        <f t="shared" si="6"/>
        <v>22</v>
      </c>
      <c r="O17" s="63">
        <v>22</v>
      </c>
      <c r="P17" s="65"/>
      <c r="Q17" s="65"/>
      <c r="R17" s="66">
        <f t="shared" si="21"/>
        <v>263287.11749999999</v>
      </c>
      <c r="S17" s="66">
        <f t="shared" si="22"/>
        <v>0</v>
      </c>
      <c r="T17" s="66">
        <f t="shared" si="23"/>
        <v>0</v>
      </c>
      <c r="U17" s="66">
        <f t="shared" si="0"/>
        <v>263287.11749999999</v>
      </c>
      <c r="V17" s="66">
        <f t="shared" si="17"/>
        <v>65821.779374999998</v>
      </c>
      <c r="W17" s="68">
        <v>18</v>
      </c>
      <c r="X17" s="67"/>
      <c r="Y17" s="67"/>
      <c r="Z17" s="75">
        <f>17697/16*W17*40%/2</f>
        <v>3981.8250000000003</v>
      </c>
      <c r="AA17" s="75">
        <f>17697/16*X17*40%</f>
        <v>0</v>
      </c>
      <c r="AB17" s="75">
        <f>17697/16*Y17*40%/2</f>
        <v>0</v>
      </c>
      <c r="AC17" s="66">
        <f t="shared" si="1"/>
        <v>3981.8250000000003</v>
      </c>
      <c r="AD17" s="66">
        <f t="shared" si="24"/>
        <v>22</v>
      </c>
      <c r="AE17" s="66">
        <f t="shared" si="18"/>
        <v>98732.66906249999</v>
      </c>
      <c r="AF17" s="75"/>
      <c r="AG17" s="69">
        <f>17697*25%</f>
        <v>4424.25</v>
      </c>
      <c r="AH17" s="75"/>
      <c r="AI17" s="67"/>
      <c r="AJ17" s="66"/>
      <c r="AK17" s="66"/>
      <c r="AL17" s="66"/>
      <c r="AM17" s="75"/>
      <c r="AN17" s="75"/>
      <c r="AO17" s="75"/>
      <c r="AP17" s="75">
        <v>1</v>
      </c>
      <c r="AQ17" s="75">
        <f>4313*AP17</f>
        <v>4313</v>
      </c>
      <c r="AR17" s="66">
        <f t="shared" si="19"/>
        <v>32910.889687499999</v>
      </c>
      <c r="AS17" s="73">
        <f t="shared" ref="AS17:AS18" si="26">(U17+V17)*40%</f>
        <v>131643.55875</v>
      </c>
      <c r="AT17" s="73"/>
      <c r="AU17" s="73"/>
      <c r="AV17" s="73"/>
      <c r="AW17" s="66">
        <f t="shared" si="25"/>
        <v>131643.55875</v>
      </c>
      <c r="AX17" s="66"/>
      <c r="AY17" s="66">
        <f t="shared" si="2"/>
        <v>341827.97187499999</v>
      </c>
      <c r="AZ17" s="66">
        <f t="shared" si="3"/>
        <v>605115.08937499998</v>
      </c>
      <c r="BA17" s="66">
        <f t="shared" si="7"/>
        <v>540290.58043750003</v>
      </c>
      <c r="BB17" s="66">
        <f t="shared" si="8"/>
        <v>32417.434826249999</v>
      </c>
      <c r="BC17" s="66">
        <f t="shared" si="4"/>
        <v>18910.170315312502</v>
      </c>
      <c r="BD17" s="66">
        <f t="shared" si="5"/>
        <v>16208.717413124999</v>
      </c>
      <c r="BE17" s="66">
        <f t="shared" si="9"/>
        <v>329108.89687499998</v>
      </c>
      <c r="BF17" s="70">
        <f t="shared" si="10"/>
        <v>396645.21942968748</v>
      </c>
      <c r="BG17" s="70">
        <f t="shared" si="11"/>
        <v>7261.3810724999994</v>
      </c>
      <c r="BH17" s="66">
        <f t="shared" si="12"/>
        <v>389.00921791499997</v>
      </c>
      <c r="BI17" s="66">
        <f t="shared" si="13"/>
        <v>226.92204378375004</v>
      </c>
      <c r="BJ17" s="66">
        <f t="shared" si="14"/>
        <v>194.50460895749998</v>
      </c>
      <c r="BK17" s="66">
        <f t="shared" si="15"/>
        <v>329.10889687499997</v>
      </c>
      <c r="BL17" s="70">
        <f t="shared" si="16"/>
        <v>8400.9258400312483</v>
      </c>
    </row>
    <row r="18" spans="2:64" ht="28.5" customHeight="1" x14ac:dyDescent="0.3">
      <c r="B18" s="57">
        <v>5</v>
      </c>
      <c r="C18" s="58" t="s">
        <v>161</v>
      </c>
      <c r="D18" s="18" t="s">
        <v>151</v>
      </c>
      <c r="E18" s="98" t="s">
        <v>159</v>
      </c>
      <c r="F18" s="62">
        <v>32</v>
      </c>
      <c r="G18" s="59" t="s">
        <v>243</v>
      </c>
      <c r="H18" s="108" t="s">
        <v>235</v>
      </c>
      <c r="I18" s="110"/>
      <c r="J18" s="72"/>
      <c r="K18" s="62" t="s">
        <v>154</v>
      </c>
      <c r="L18" s="63">
        <v>5.41</v>
      </c>
      <c r="M18" s="97">
        <f t="shared" si="20"/>
        <v>191481.54</v>
      </c>
      <c r="N18" s="64">
        <f t="shared" si="6"/>
        <v>18</v>
      </c>
      <c r="O18" s="63">
        <v>18</v>
      </c>
      <c r="P18" s="65"/>
      <c r="Q18" s="65"/>
      <c r="R18" s="66">
        <f t="shared" si="21"/>
        <v>215416.73250000001</v>
      </c>
      <c r="S18" s="66">
        <f t="shared" si="22"/>
        <v>0</v>
      </c>
      <c r="T18" s="66">
        <f t="shared" si="23"/>
        <v>0</v>
      </c>
      <c r="U18" s="66">
        <f t="shared" si="0"/>
        <v>215416.73250000001</v>
      </c>
      <c r="V18" s="66">
        <f t="shared" si="17"/>
        <v>53854.183125000003</v>
      </c>
      <c r="W18" s="68">
        <v>10</v>
      </c>
      <c r="X18" s="67"/>
      <c r="Y18" s="67"/>
      <c r="Z18" s="75">
        <f>17697/16*W18*40%/2</f>
        <v>2212.125</v>
      </c>
      <c r="AA18" s="75">
        <f>17697/18*X18*40%/2</f>
        <v>0</v>
      </c>
      <c r="AB18" s="75">
        <f>17697/16*Y18*40%/2</f>
        <v>0</v>
      </c>
      <c r="AC18" s="66">
        <f t="shared" si="1"/>
        <v>2212.125</v>
      </c>
      <c r="AD18" s="66">
        <f t="shared" si="24"/>
        <v>18</v>
      </c>
      <c r="AE18" s="66">
        <f t="shared" si="18"/>
        <v>80781.274687500001</v>
      </c>
      <c r="AF18" s="75"/>
      <c r="AG18" s="69">
        <f>17697*25%</f>
        <v>4424.25</v>
      </c>
      <c r="AH18" s="75"/>
      <c r="AI18" s="67"/>
      <c r="AJ18" s="66"/>
      <c r="AK18" s="66"/>
      <c r="AL18" s="66"/>
      <c r="AM18" s="75"/>
      <c r="AN18" s="75"/>
      <c r="AO18" s="75"/>
      <c r="AP18" s="75">
        <v>1</v>
      </c>
      <c r="AQ18" s="75">
        <f t="shared" ref="AQ18" si="27">4313*AP18</f>
        <v>4313</v>
      </c>
      <c r="AR18" s="66">
        <f t="shared" si="19"/>
        <v>26927.091562500005</v>
      </c>
      <c r="AS18" s="73">
        <f t="shared" si="26"/>
        <v>107708.36625000002</v>
      </c>
      <c r="AT18" s="73"/>
      <c r="AU18" s="73"/>
      <c r="AV18" s="73"/>
      <c r="AW18" s="66">
        <f t="shared" si="25"/>
        <v>107708.36625000002</v>
      </c>
      <c r="AX18" s="66"/>
      <c r="AY18" s="66">
        <f t="shared" si="2"/>
        <v>280220.29062500002</v>
      </c>
      <c r="AZ18" s="66">
        <f t="shared" si="3"/>
        <v>495637.02312500007</v>
      </c>
      <c r="BA18" s="66">
        <f t="shared" si="7"/>
        <v>441760.32081250008</v>
      </c>
      <c r="BB18" s="66">
        <f t="shared" si="8"/>
        <v>26505.619248750005</v>
      </c>
      <c r="BC18" s="66">
        <f t="shared" si="4"/>
        <v>15461.611228437505</v>
      </c>
      <c r="BD18" s="66">
        <f t="shared" si="5"/>
        <v>13252.809624375002</v>
      </c>
      <c r="BE18" s="66">
        <f t="shared" si="9"/>
        <v>269270.91562500002</v>
      </c>
      <c r="BF18" s="70">
        <f t="shared" si="10"/>
        <v>324490.95572656253</v>
      </c>
      <c r="BG18" s="70">
        <f t="shared" si="11"/>
        <v>5947.6442775000005</v>
      </c>
      <c r="BH18" s="66">
        <f t="shared" si="12"/>
        <v>318.06743098500004</v>
      </c>
      <c r="BI18" s="66">
        <f t="shared" si="13"/>
        <v>185.53933474125006</v>
      </c>
      <c r="BJ18" s="66">
        <f t="shared" si="14"/>
        <v>159.03371549250002</v>
      </c>
      <c r="BK18" s="66">
        <f t="shared" si="15"/>
        <v>269.27091562500004</v>
      </c>
      <c r="BL18" s="70">
        <f t="shared" si="16"/>
        <v>6879.555674343751</v>
      </c>
    </row>
    <row r="19" spans="2:64" ht="27" customHeight="1" x14ac:dyDescent="0.3">
      <c r="B19" s="57">
        <v>6</v>
      </c>
      <c r="C19" s="63" t="s">
        <v>168</v>
      </c>
      <c r="D19" s="18" t="s">
        <v>151</v>
      </c>
      <c r="E19" s="72" t="s">
        <v>169</v>
      </c>
      <c r="F19" s="76">
        <v>11.11</v>
      </c>
      <c r="G19" s="59" t="s">
        <v>170</v>
      </c>
      <c r="H19" s="60" t="s">
        <v>171</v>
      </c>
      <c r="I19" s="61"/>
      <c r="J19" s="18"/>
      <c r="K19" s="76" t="s">
        <v>166</v>
      </c>
      <c r="L19" s="78">
        <v>4.8600000000000003</v>
      </c>
      <c r="M19" s="97">
        <f t="shared" si="20"/>
        <v>172014.84000000003</v>
      </c>
      <c r="N19" s="64">
        <f t="shared" si="6"/>
        <v>2</v>
      </c>
      <c r="O19" s="63"/>
      <c r="P19" s="65"/>
      <c r="Q19" s="65">
        <v>2</v>
      </c>
      <c r="R19" s="66">
        <f t="shared" si="21"/>
        <v>0</v>
      </c>
      <c r="S19" s="66">
        <f t="shared" si="22"/>
        <v>0</v>
      </c>
      <c r="T19" s="66">
        <f t="shared" si="23"/>
        <v>21501.855000000003</v>
      </c>
      <c r="U19" s="66">
        <f t="shared" si="0"/>
        <v>21501.855000000003</v>
      </c>
      <c r="V19" s="66">
        <f t="shared" si="17"/>
        <v>5375.4637500000008</v>
      </c>
      <c r="W19" s="68"/>
      <c r="X19" s="68"/>
      <c r="Y19" s="68"/>
      <c r="Z19" s="75"/>
      <c r="AA19" s="75"/>
      <c r="AB19" s="75"/>
      <c r="AC19" s="66">
        <f t="shared" si="1"/>
        <v>0</v>
      </c>
      <c r="AD19" s="66">
        <f t="shared" si="24"/>
        <v>2</v>
      </c>
      <c r="AE19" s="66">
        <f t="shared" si="18"/>
        <v>8063.1956250000012</v>
      </c>
      <c r="AF19" s="75"/>
      <c r="AG19" s="69"/>
      <c r="AH19" s="75"/>
      <c r="AI19" s="67"/>
      <c r="AJ19" s="66"/>
      <c r="AK19" s="66"/>
      <c r="AL19" s="66"/>
      <c r="AM19" s="75"/>
      <c r="AN19" s="75"/>
      <c r="AO19" s="75"/>
      <c r="AP19" s="75"/>
      <c r="AQ19" s="75">
        <f t="shared" ref="AQ19:AQ32" si="28">3975*AP19</f>
        <v>0</v>
      </c>
      <c r="AR19" s="66">
        <f t="shared" si="19"/>
        <v>2687.7318750000009</v>
      </c>
      <c r="AS19" s="73"/>
      <c r="AT19" s="73"/>
      <c r="AU19" s="73"/>
      <c r="AV19" s="73">
        <f t="shared" ref="AV19:AV20" si="29">(U19+V19)*35%</f>
        <v>9407.0615625000009</v>
      </c>
      <c r="AW19" s="66">
        <f t="shared" si="25"/>
        <v>9407.0615625000009</v>
      </c>
      <c r="AX19" s="66"/>
      <c r="AY19" s="66">
        <f t="shared" si="2"/>
        <v>25533.452812500007</v>
      </c>
      <c r="AZ19" s="66">
        <f t="shared" si="3"/>
        <v>47035.30781250001</v>
      </c>
      <c r="BA19" s="66">
        <f t="shared" si="7"/>
        <v>42331.777031250007</v>
      </c>
      <c r="BB19" s="66">
        <f t="shared" si="8"/>
        <v>2539.9066218750004</v>
      </c>
      <c r="BC19" s="66">
        <f t="shared" si="4"/>
        <v>1481.6121960937503</v>
      </c>
      <c r="BD19" s="66">
        <f t="shared" si="5"/>
        <v>1269.9533109375002</v>
      </c>
      <c r="BE19" s="66">
        <f t="shared" si="9"/>
        <v>26877.318750000006</v>
      </c>
      <c r="BF19" s="70">
        <f t="shared" si="10"/>
        <v>32168.790878906257</v>
      </c>
      <c r="BG19" s="70">
        <f t="shared" si="11"/>
        <v>564.4236937500001</v>
      </c>
      <c r="BH19" s="66">
        <f t="shared" si="12"/>
        <v>30.478879462500004</v>
      </c>
      <c r="BI19" s="66">
        <f t="shared" si="13"/>
        <v>17.779346353125003</v>
      </c>
      <c r="BJ19" s="66">
        <f t="shared" si="14"/>
        <v>15.239439731250002</v>
      </c>
      <c r="BK19" s="66">
        <f t="shared" si="15"/>
        <v>26.877318750000004</v>
      </c>
      <c r="BL19" s="70">
        <f t="shared" si="16"/>
        <v>654.79867804687512</v>
      </c>
    </row>
    <row r="20" spans="2:64" ht="23.25" customHeight="1" x14ac:dyDescent="0.3">
      <c r="B20" s="57">
        <v>7</v>
      </c>
      <c r="C20" s="58" t="s">
        <v>184</v>
      </c>
      <c r="D20" s="18" t="s">
        <v>151</v>
      </c>
      <c r="E20" s="72" t="s">
        <v>185</v>
      </c>
      <c r="F20" s="62">
        <v>15</v>
      </c>
      <c r="G20" s="59" t="s">
        <v>153</v>
      </c>
      <c r="H20" s="60" t="s">
        <v>275</v>
      </c>
      <c r="I20" s="61"/>
      <c r="J20" s="18"/>
      <c r="K20" s="62" t="s">
        <v>176</v>
      </c>
      <c r="L20" s="63">
        <v>4.99</v>
      </c>
      <c r="M20" s="97">
        <f>L20*17697*2</f>
        <v>176616.06</v>
      </c>
      <c r="N20" s="64">
        <f t="shared" si="6"/>
        <v>17</v>
      </c>
      <c r="O20" s="63"/>
      <c r="P20" s="74">
        <v>8</v>
      </c>
      <c r="Q20" s="74">
        <v>9</v>
      </c>
      <c r="R20" s="66">
        <f>M20/16*O20</f>
        <v>0</v>
      </c>
      <c r="S20" s="66">
        <f>M20/16*P20</f>
        <v>88308.03</v>
      </c>
      <c r="T20" s="66">
        <f>M20/16*Q20</f>
        <v>99346.533750000002</v>
      </c>
      <c r="U20" s="66">
        <f t="shared" si="0"/>
        <v>187654.56375</v>
      </c>
      <c r="V20" s="66">
        <f>U20*25%</f>
        <v>46913.6409375</v>
      </c>
      <c r="W20" s="67"/>
      <c r="X20" s="68">
        <v>7</v>
      </c>
      <c r="Y20" s="67">
        <v>10</v>
      </c>
      <c r="Z20" s="75">
        <f>17697/18*W20*40%/2</f>
        <v>0</v>
      </c>
      <c r="AA20" s="75">
        <f>17697/16*X20*50%/2</f>
        <v>1935.609375</v>
      </c>
      <c r="AB20" s="75">
        <f>17697/16*Y20*50%/2</f>
        <v>2765.15625</v>
      </c>
      <c r="AC20" s="66">
        <f t="shared" si="1"/>
        <v>4700.765625</v>
      </c>
      <c r="AD20" s="66">
        <f>N20</f>
        <v>17</v>
      </c>
      <c r="AE20" s="66">
        <f>(U20+V20)*30%</f>
        <v>70370.46140624999</v>
      </c>
      <c r="AF20" s="75"/>
      <c r="AG20" s="69">
        <f>17697*30%</f>
        <v>5309.0999999999995</v>
      </c>
      <c r="AH20" s="75"/>
      <c r="AI20" s="73"/>
      <c r="AJ20" s="66"/>
      <c r="AK20" s="66"/>
      <c r="AL20" s="66"/>
      <c r="AM20" s="75"/>
      <c r="AN20" s="75"/>
      <c r="AO20" s="75"/>
      <c r="AP20" s="75">
        <v>1</v>
      </c>
      <c r="AQ20" s="75">
        <f>4313*AP20</f>
        <v>4313</v>
      </c>
      <c r="AR20" s="66">
        <f t="shared" si="19"/>
        <v>23456.82046875</v>
      </c>
      <c r="AS20" s="73"/>
      <c r="AT20" s="73"/>
      <c r="AU20" s="73"/>
      <c r="AV20" s="73">
        <f t="shared" si="29"/>
        <v>82098.871640624988</v>
      </c>
      <c r="AW20" s="66">
        <f t="shared" si="25"/>
        <v>82098.871640624988</v>
      </c>
      <c r="AX20" s="66"/>
      <c r="AY20" s="66">
        <f t="shared" si="2"/>
        <v>237162.66007812496</v>
      </c>
      <c r="AZ20" s="66">
        <f t="shared" si="3"/>
        <v>424817.22382812493</v>
      </c>
      <c r="BA20" s="66">
        <f t="shared" si="7"/>
        <v>378022.5014453124</v>
      </c>
      <c r="BB20" s="66">
        <f t="shared" si="8"/>
        <v>22681.350086718743</v>
      </c>
      <c r="BC20" s="66">
        <f t="shared" si="4"/>
        <v>13230.787550585936</v>
      </c>
      <c r="BD20" s="66">
        <f t="shared" si="5"/>
        <v>11340.675043359372</v>
      </c>
      <c r="BE20" s="66">
        <f t="shared" si="9"/>
        <v>234568.20468749999</v>
      </c>
      <c r="BF20" s="70">
        <f t="shared" si="10"/>
        <v>281821.01736816403</v>
      </c>
      <c r="BG20" s="70">
        <f t="shared" si="11"/>
        <v>5097.8066859374994</v>
      </c>
      <c r="BH20" s="66">
        <f t="shared" si="12"/>
        <v>272.17620104062496</v>
      </c>
      <c r="BI20" s="66">
        <f t="shared" si="13"/>
        <v>158.76945060703125</v>
      </c>
      <c r="BJ20" s="66">
        <f t="shared" si="14"/>
        <v>136.08810052031248</v>
      </c>
      <c r="BK20" s="66">
        <f t="shared" si="15"/>
        <v>234.56820468749999</v>
      </c>
      <c r="BL20" s="70">
        <f t="shared" si="16"/>
        <v>5899.4086427929678</v>
      </c>
    </row>
    <row r="21" spans="2:64" s="148" customFormat="1" ht="42.75" customHeight="1" x14ac:dyDescent="0.3">
      <c r="B21" s="131">
        <v>8</v>
      </c>
      <c r="C21" s="132" t="s">
        <v>271</v>
      </c>
      <c r="D21" s="133" t="s">
        <v>151</v>
      </c>
      <c r="E21" s="133" t="s">
        <v>172</v>
      </c>
      <c r="F21" s="134">
        <v>5</v>
      </c>
      <c r="G21" s="135" t="s">
        <v>173</v>
      </c>
      <c r="H21" s="136" t="s">
        <v>174</v>
      </c>
      <c r="I21" s="137"/>
      <c r="J21" s="136" t="s">
        <v>175</v>
      </c>
      <c r="K21" s="134" t="s">
        <v>176</v>
      </c>
      <c r="L21" s="138">
        <v>4.66</v>
      </c>
      <c r="M21" s="139">
        <f t="shared" si="20"/>
        <v>164936.04</v>
      </c>
      <c r="N21" s="140">
        <f t="shared" si="6"/>
        <v>10</v>
      </c>
      <c r="O21" s="138"/>
      <c r="P21" s="141">
        <v>6</v>
      </c>
      <c r="Q21" s="141">
        <v>4</v>
      </c>
      <c r="R21" s="142">
        <f t="shared" si="21"/>
        <v>0</v>
      </c>
      <c r="S21" s="142">
        <f t="shared" si="22"/>
        <v>61851.014999999999</v>
      </c>
      <c r="T21" s="142">
        <f t="shared" si="23"/>
        <v>41234.01</v>
      </c>
      <c r="U21" s="142">
        <f t="shared" si="0"/>
        <v>103085.02499999999</v>
      </c>
      <c r="V21" s="142">
        <f t="shared" si="17"/>
        <v>25771.256249999999</v>
      </c>
      <c r="W21" s="143"/>
      <c r="X21" s="143">
        <v>6</v>
      </c>
      <c r="Y21" s="143">
        <v>4</v>
      </c>
      <c r="Z21" s="144"/>
      <c r="AA21" s="144">
        <f t="shared" ref="AA21:AB25" si="30">17697/16*X21*40%/2</f>
        <v>1327.2750000000001</v>
      </c>
      <c r="AB21" s="144">
        <f t="shared" si="30"/>
        <v>884.85</v>
      </c>
      <c r="AC21" s="142">
        <f t="shared" si="1"/>
        <v>2212.125</v>
      </c>
      <c r="AD21" s="142">
        <f t="shared" si="24"/>
        <v>10</v>
      </c>
      <c r="AE21" s="142">
        <f t="shared" si="18"/>
        <v>38656.884375000001</v>
      </c>
      <c r="AF21" s="144">
        <v>35394</v>
      </c>
      <c r="AG21" s="145"/>
      <c r="AH21" s="144"/>
      <c r="AI21" s="146"/>
      <c r="AJ21" s="142"/>
      <c r="AK21" s="142"/>
      <c r="AL21" s="142"/>
      <c r="AM21" s="144"/>
      <c r="AN21" s="144"/>
      <c r="AO21" s="144"/>
      <c r="AP21" s="144">
        <v>1</v>
      </c>
      <c r="AQ21" s="144">
        <f>4313*AP21</f>
        <v>4313</v>
      </c>
      <c r="AR21" s="142">
        <f t="shared" si="19"/>
        <v>12885.628125000001</v>
      </c>
      <c r="AS21" s="146"/>
      <c r="AT21" s="146"/>
      <c r="AU21" s="146">
        <f>(U21+V21)*30%</f>
        <v>38656.884375000001</v>
      </c>
      <c r="AV21" s="146"/>
      <c r="AW21" s="142">
        <f t="shared" si="25"/>
        <v>38656.884375000001</v>
      </c>
      <c r="AX21" s="142"/>
      <c r="AY21" s="142">
        <f t="shared" si="2"/>
        <v>157889.77812500001</v>
      </c>
      <c r="AZ21" s="142">
        <f t="shared" si="3"/>
        <v>260974.80312500001</v>
      </c>
      <c r="BA21" s="142">
        <f t="shared" si="7"/>
        <v>230564.3228125</v>
      </c>
      <c r="BB21" s="142">
        <f t="shared" si="8"/>
        <v>13833.85936875</v>
      </c>
      <c r="BC21" s="142">
        <f t="shared" si="4"/>
        <v>8069.7512984375007</v>
      </c>
      <c r="BD21" s="142">
        <f t="shared" si="5"/>
        <v>6916.9296843749999</v>
      </c>
      <c r="BE21" s="142">
        <f t="shared" si="9"/>
        <v>128856.28125</v>
      </c>
      <c r="BF21" s="147">
        <f t="shared" si="10"/>
        <v>157676.82160156249</v>
      </c>
      <c r="BG21" s="70">
        <f t="shared" si="11"/>
        <v>3131.6976375000004</v>
      </c>
      <c r="BH21" s="66">
        <f t="shared" si="12"/>
        <v>166.006312425</v>
      </c>
      <c r="BI21" s="66">
        <f t="shared" si="13"/>
        <v>96.837015581250014</v>
      </c>
      <c r="BJ21" s="66">
        <f t="shared" si="14"/>
        <v>83.003156212500002</v>
      </c>
      <c r="BK21" s="66">
        <f t="shared" si="15"/>
        <v>128.85628124999999</v>
      </c>
      <c r="BL21" s="70">
        <f t="shared" si="16"/>
        <v>3606.4004029687503</v>
      </c>
    </row>
    <row r="22" spans="2:64" ht="13" x14ac:dyDescent="0.3">
      <c r="B22" s="57">
        <v>9</v>
      </c>
      <c r="C22" s="58" t="s">
        <v>271</v>
      </c>
      <c r="D22" s="18" t="s">
        <v>151</v>
      </c>
      <c r="E22" s="18" t="s">
        <v>172</v>
      </c>
      <c r="F22" s="76">
        <v>5</v>
      </c>
      <c r="G22" s="111" t="s">
        <v>177</v>
      </c>
      <c r="H22" s="58" t="s">
        <v>178</v>
      </c>
      <c r="I22" s="61"/>
      <c r="J22" s="18"/>
      <c r="K22" s="76" t="s">
        <v>179</v>
      </c>
      <c r="L22" s="112">
        <v>3.49</v>
      </c>
      <c r="M22" s="97">
        <f t="shared" si="20"/>
        <v>123525.06000000001</v>
      </c>
      <c r="N22" s="64">
        <f t="shared" si="6"/>
        <v>9</v>
      </c>
      <c r="O22" s="112"/>
      <c r="P22" s="65">
        <v>5</v>
      </c>
      <c r="Q22" s="65">
        <v>4</v>
      </c>
      <c r="R22" s="66">
        <f t="shared" si="21"/>
        <v>0</v>
      </c>
      <c r="S22" s="66">
        <f t="shared" si="22"/>
        <v>38601.581250000003</v>
      </c>
      <c r="T22" s="66">
        <f t="shared" si="23"/>
        <v>30881.265000000003</v>
      </c>
      <c r="U22" s="66">
        <f t="shared" si="0"/>
        <v>69482.846250000002</v>
      </c>
      <c r="V22" s="66">
        <f t="shared" si="17"/>
        <v>17370.711562500001</v>
      </c>
      <c r="W22" s="68"/>
      <c r="X22" s="68">
        <v>5</v>
      </c>
      <c r="Y22" s="68">
        <v>4</v>
      </c>
      <c r="Z22" s="75">
        <f>17697/18*W22*40%</f>
        <v>0</v>
      </c>
      <c r="AA22" s="75">
        <f t="shared" si="30"/>
        <v>1106.0625</v>
      </c>
      <c r="AB22" s="75">
        <f t="shared" si="30"/>
        <v>884.85</v>
      </c>
      <c r="AC22" s="66">
        <f t="shared" si="1"/>
        <v>1990.9124999999999</v>
      </c>
      <c r="AD22" s="66">
        <f t="shared" si="24"/>
        <v>9</v>
      </c>
      <c r="AE22" s="66">
        <f t="shared" si="18"/>
        <v>26056.067343750001</v>
      </c>
      <c r="AF22" s="75"/>
      <c r="AG22" s="69">
        <v>5309</v>
      </c>
      <c r="AH22" s="75"/>
      <c r="AI22" s="73"/>
      <c r="AJ22" s="66"/>
      <c r="AK22" s="66"/>
      <c r="AL22" s="66"/>
      <c r="AM22" s="75"/>
      <c r="AN22" s="75"/>
      <c r="AO22" s="75"/>
      <c r="AP22" s="75"/>
      <c r="AQ22" s="75">
        <f>3975*AP22</f>
        <v>0</v>
      </c>
      <c r="AR22" s="66">
        <f t="shared" si="19"/>
        <v>8685.3557812500003</v>
      </c>
      <c r="AS22" s="73"/>
      <c r="AT22" s="73"/>
      <c r="AU22" s="73"/>
      <c r="AV22" s="73"/>
      <c r="AW22" s="66">
        <f t="shared" si="25"/>
        <v>0</v>
      </c>
      <c r="AX22" s="66"/>
      <c r="AY22" s="66">
        <f t="shared" si="2"/>
        <v>59412.0471875</v>
      </c>
      <c r="AZ22" s="66">
        <f t="shared" si="3"/>
        <v>128894.8934375</v>
      </c>
      <c r="BA22" s="66">
        <f t="shared" si="7"/>
        <v>116005.40409375</v>
      </c>
      <c r="BB22" s="66">
        <f t="shared" si="8"/>
        <v>6960.3242456249991</v>
      </c>
      <c r="BC22" s="66">
        <f t="shared" si="4"/>
        <v>4060.1891432812504</v>
      </c>
      <c r="BD22" s="66">
        <f t="shared" si="5"/>
        <v>3480.1621228124995</v>
      </c>
      <c r="BE22" s="66">
        <f t="shared" si="9"/>
        <v>86853.557812500003</v>
      </c>
      <c r="BF22" s="70">
        <f t="shared" si="10"/>
        <v>101354.23332421875</v>
      </c>
      <c r="BG22" s="70">
        <f t="shared" si="11"/>
        <v>1546.73872125</v>
      </c>
      <c r="BH22" s="66">
        <f t="shared" si="12"/>
        <v>83.523890947499979</v>
      </c>
      <c r="BI22" s="66">
        <f t="shared" si="13"/>
        <v>48.722269719375007</v>
      </c>
      <c r="BJ22" s="66">
        <f t="shared" si="14"/>
        <v>41.761945473749989</v>
      </c>
      <c r="BK22" s="66">
        <f t="shared" si="15"/>
        <v>86.8535578125</v>
      </c>
      <c r="BL22" s="70">
        <f t="shared" si="16"/>
        <v>1807.6003852031249</v>
      </c>
    </row>
    <row r="23" spans="2:64" ht="33" customHeight="1" x14ac:dyDescent="0.3">
      <c r="B23" s="57">
        <v>10</v>
      </c>
      <c r="C23" s="59" t="s">
        <v>180</v>
      </c>
      <c r="D23" s="18" t="s">
        <v>151</v>
      </c>
      <c r="E23" s="72" t="s">
        <v>181</v>
      </c>
      <c r="F23" s="62">
        <v>12</v>
      </c>
      <c r="G23" s="59" t="s">
        <v>182</v>
      </c>
      <c r="H23" s="60" t="s">
        <v>183</v>
      </c>
      <c r="I23" s="61"/>
      <c r="J23" s="18"/>
      <c r="K23" s="62" t="s">
        <v>176</v>
      </c>
      <c r="L23" s="63">
        <v>4.8099999999999996</v>
      </c>
      <c r="M23" s="97">
        <f t="shared" si="20"/>
        <v>170245.13999999998</v>
      </c>
      <c r="N23" s="64">
        <f t="shared" si="6"/>
        <v>18</v>
      </c>
      <c r="O23" s="63">
        <v>3</v>
      </c>
      <c r="P23" s="74">
        <v>9</v>
      </c>
      <c r="Q23" s="74">
        <v>6</v>
      </c>
      <c r="R23" s="66">
        <f t="shared" si="21"/>
        <v>31920.963749999995</v>
      </c>
      <c r="S23" s="66">
        <f t="shared" si="22"/>
        <v>95762.891249999986</v>
      </c>
      <c r="T23" s="66">
        <f t="shared" si="23"/>
        <v>63841.927499999991</v>
      </c>
      <c r="U23" s="66">
        <f t="shared" si="0"/>
        <v>191525.78249999997</v>
      </c>
      <c r="V23" s="66">
        <f t="shared" si="17"/>
        <v>47881.445624999993</v>
      </c>
      <c r="W23" s="68"/>
      <c r="X23" s="68"/>
      <c r="Y23" s="68"/>
      <c r="Z23" s="75">
        <f>17697/16*W23*40%/2</f>
        <v>0</v>
      </c>
      <c r="AA23" s="75">
        <f t="shared" si="30"/>
        <v>0</v>
      </c>
      <c r="AB23" s="75">
        <f t="shared" si="30"/>
        <v>0</v>
      </c>
      <c r="AC23" s="66">
        <f t="shared" si="1"/>
        <v>0</v>
      </c>
      <c r="AD23" s="66">
        <f t="shared" si="24"/>
        <v>18</v>
      </c>
      <c r="AE23" s="66">
        <f t="shared" si="18"/>
        <v>71822.16843749999</v>
      </c>
      <c r="AF23" s="75"/>
      <c r="AG23" s="69"/>
      <c r="AH23" s="75"/>
      <c r="AI23" s="67"/>
      <c r="AJ23" s="66"/>
      <c r="AK23" s="66"/>
      <c r="AL23" s="66"/>
      <c r="AM23" s="75"/>
      <c r="AN23" s="75"/>
      <c r="AO23" s="75"/>
      <c r="AP23" s="75">
        <v>1</v>
      </c>
      <c r="AQ23" s="75">
        <f t="shared" ref="AQ23:AQ29" si="31">4313*AP23</f>
        <v>4313</v>
      </c>
      <c r="AR23" s="66">
        <f t="shared" si="19"/>
        <v>23940.722812499997</v>
      </c>
      <c r="AS23" s="73"/>
      <c r="AT23" s="73"/>
      <c r="AU23" s="73">
        <f>(U23+V23)*30%</f>
        <v>71822.16843749999</v>
      </c>
      <c r="AV23" s="73"/>
      <c r="AW23" s="66">
        <f t="shared" si="25"/>
        <v>71822.16843749999</v>
      </c>
      <c r="AX23" s="66">
        <v>17697</v>
      </c>
      <c r="AY23" s="66">
        <f t="shared" si="2"/>
        <v>237476.50531249997</v>
      </c>
      <c r="AZ23" s="66">
        <f t="shared" si="3"/>
        <v>429002.28781249991</v>
      </c>
      <c r="BA23" s="66">
        <f t="shared" si="7"/>
        <v>381789.0590312499</v>
      </c>
      <c r="BB23" s="66">
        <f t="shared" si="8"/>
        <v>22907.343541874994</v>
      </c>
      <c r="BC23" s="66">
        <f t="shared" si="4"/>
        <v>13362.617066093748</v>
      </c>
      <c r="BD23" s="66">
        <f t="shared" si="5"/>
        <v>11453.671770937497</v>
      </c>
      <c r="BE23" s="66">
        <f t="shared" si="9"/>
        <v>239407.22812499997</v>
      </c>
      <c r="BF23" s="70">
        <f t="shared" si="10"/>
        <v>287130.86050390621</v>
      </c>
      <c r="BG23" s="70">
        <f t="shared" si="11"/>
        <v>5148.027453749999</v>
      </c>
      <c r="BH23" s="66">
        <f t="shared" si="12"/>
        <v>274.88812250249998</v>
      </c>
      <c r="BI23" s="66">
        <f t="shared" si="13"/>
        <v>160.35140479312497</v>
      </c>
      <c r="BJ23" s="66">
        <f t="shared" si="14"/>
        <v>137.44406125124999</v>
      </c>
      <c r="BK23" s="66">
        <f t="shared" si="15"/>
        <v>239.40722812499996</v>
      </c>
      <c r="BL23" s="70">
        <f t="shared" si="16"/>
        <v>5960.1182704218736</v>
      </c>
    </row>
    <row r="24" spans="2:64" ht="29.25" customHeight="1" x14ac:dyDescent="0.3">
      <c r="B24" s="57">
        <v>11</v>
      </c>
      <c r="C24" s="58" t="s">
        <v>262</v>
      </c>
      <c r="D24" s="18" t="s">
        <v>151</v>
      </c>
      <c r="E24" s="123" t="s">
        <v>263</v>
      </c>
      <c r="F24" s="62">
        <v>7</v>
      </c>
      <c r="G24" s="59" t="s">
        <v>206</v>
      </c>
      <c r="H24" s="60" t="s">
        <v>264</v>
      </c>
      <c r="I24" s="61"/>
      <c r="J24" s="18"/>
      <c r="K24" s="62" t="s">
        <v>176</v>
      </c>
      <c r="L24" s="99">
        <v>4.74</v>
      </c>
      <c r="M24" s="97">
        <f t="shared" si="20"/>
        <v>167767.56</v>
      </c>
      <c r="N24" s="64">
        <f t="shared" si="6"/>
        <v>16</v>
      </c>
      <c r="O24" s="63">
        <v>4</v>
      </c>
      <c r="P24" s="74">
        <v>6</v>
      </c>
      <c r="Q24" s="74">
        <v>6</v>
      </c>
      <c r="R24" s="66">
        <f t="shared" si="21"/>
        <v>41941.89</v>
      </c>
      <c r="S24" s="66">
        <f>M24/16*P24</f>
        <v>62912.834999999999</v>
      </c>
      <c r="T24" s="66">
        <f t="shared" ref="T24:T26" si="32">M24/16*Q24</f>
        <v>62912.834999999999</v>
      </c>
      <c r="U24" s="66">
        <f t="shared" si="0"/>
        <v>167767.56</v>
      </c>
      <c r="V24" s="66">
        <f t="shared" si="17"/>
        <v>41941.89</v>
      </c>
      <c r="W24" s="68">
        <v>4</v>
      </c>
      <c r="X24" s="68">
        <v>6</v>
      </c>
      <c r="Y24" s="68">
        <v>6</v>
      </c>
      <c r="Z24" s="75">
        <f>17697/16*W24*40%/2</f>
        <v>884.85</v>
      </c>
      <c r="AA24" s="75">
        <f>17697/16*X24*40%/2</f>
        <v>1327.2750000000001</v>
      </c>
      <c r="AB24" s="75">
        <f t="shared" si="30"/>
        <v>1327.2750000000001</v>
      </c>
      <c r="AC24" s="66">
        <f t="shared" si="1"/>
        <v>3539.4</v>
      </c>
      <c r="AD24" s="66">
        <v>16</v>
      </c>
      <c r="AE24" s="66">
        <f t="shared" si="18"/>
        <v>62912.834999999999</v>
      </c>
      <c r="AF24" s="75"/>
      <c r="AG24" s="69">
        <v>5309</v>
      </c>
      <c r="AH24" s="75"/>
      <c r="AI24" s="73"/>
      <c r="AJ24" s="66"/>
      <c r="AK24" s="66"/>
      <c r="AL24" s="66"/>
      <c r="AM24" s="75"/>
      <c r="AN24" s="75"/>
      <c r="AO24" s="75"/>
      <c r="AP24" s="75">
        <v>1</v>
      </c>
      <c r="AQ24" s="75">
        <f t="shared" si="31"/>
        <v>4313</v>
      </c>
      <c r="AR24" s="66">
        <f t="shared" si="19"/>
        <v>20970.945000000003</v>
      </c>
      <c r="AS24" s="73"/>
      <c r="AT24" s="73"/>
      <c r="AU24" s="73">
        <f>(U24+V24)*30%</f>
        <v>62912.834999999999</v>
      </c>
      <c r="AV24" s="73"/>
      <c r="AW24" s="66">
        <f t="shared" si="25"/>
        <v>62912.834999999999</v>
      </c>
      <c r="AX24" s="66"/>
      <c r="AY24" s="66">
        <f t="shared" si="2"/>
        <v>201899.905</v>
      </c>
      <c r="AZ24" s="66">
        <f t="shared" si="3"/>
        <v>369667.46499999997</v>
      </c>
      <c r="BA24" s="66">
        <f t="shared" si="7"/>
        <v>328387.71849999996</v>
      </c>
      <c r="BB24" s="66">
        <f t="shared" si="8"/>
        <v>19703.263109999996</v>
      </c>
      <c r="BC24" s="66">
        <f t="shared" si="4"/>
        <v>11493.570147500001</v>
      </c>
      <c r="BD24" s="66">
        <f t="shared" si="5"/>
        <v>9851.6315549999981</v>
      </c>
      <c r="BE24" s="66">
        <f t="shared" si="9"/>
        <v>209709.45</v>
      </c>
      <c r="BF24" s="70">
        <f t="shared" si="10"/>
        <v>250757.91481250001</v>
      </c>
      <c r="BG24" s="70">
        <f t="shared" si="11"/>
        <v>4436.0095799999999</v>
      </c>
      <c r="BH24" s="66">
        <f t="shared" si="12"/>
        <v>236.43915731999994</v>
      </c>
      <c r="BI24" s="66">
        <f t="shared" si="13"/>
        <v>137.92284176999999</v>
      </c>
      <c r="BJ24" s="66">
        <f t="shared" si="14"/>
        <v>118.21957865999997</v>
      </c>
      <c r="BK24" s="66">
        <f t="shared" si="15"/>
        <v>209.70945</v>
      </c>
      <c r="BL24" s="70">
        <f t="shared" si="16"/>
        <v>5138.3006077499995</v>
      </c>
    </row>
    <row r="25" spans="2:64" ht="26" x14ac:dyDescent="0.3">
      <c r="B25" s="57">
        <v>12</v>
      </c>
      <c r="C25" s="58" t="s">
        <v>259</v>
      </c>
      <c r="D25" s="18" t="s">
        <v>151</v>
      </c>
      <c r="E25" s="123" t="s">
        <v>185</v>
      </c>
      <c r="F25" s="62">
        <v>9</v>
      </c>
      <c r="G25" s="59" t="s">
        <v>153</v>
      </c>
      <c r="H25" s="60" t="s">
        <v>178</v>
      </c>
      <c r="I25" s="61"/>
      <c r="J25" s="18"/>
      <c r="K25" s="62" t="s">
        <v>192</v>
      </c>
      <c r="L25" s="99">
        <v>4.33</v>
      </c>
      <c r="M25" s="97">
        <f t="shared" si="20"/>
        <v>153256.01999999999</v>
      </c>
      <c r="N25" s="64">
        <f t="shared" si="6"/>
        <v>6</v>
      </c>
      <c r="O25" s="63"/>
      <c r="P25" s="74">
        <v>6</v>
      </c>
      <c r="Q25" s="74"/>
      <c r="R25" s="66"/>
      <c r="S25" s="66">
        <f>M25/16*P25</f>
        <v>57471.007499999992</v>
      </c>
      <c r="T25" s="66">
        <f t="shared" si="32"/>
        <v>0</v>
      </c>
      <c r="U25" s="66">
        <f t="shared" si="0"/>
        <v>57471.007499999992</v>
      </c>
      <c r="V25" s="66">
        <f t="shared" si="17"/>
        <v>14367.751874999998</v>
      </c>
      <c r="W25" s="68"/>
      <c r="X25" s="68">
        <v>6</v>
      </c>
      <c r="Y25" s="68"/>
      <c r="Z25" s="75"/>
      <c r="AA25" s="75">
        <f>17697/16*X25*40%/2</f>
        <v>1327.2750000000001</v>
      </c>
      <c r="AB25" s="75">
        <f t="shared" si="30"/>
        <v>0</v>
      </c>
      <c r="AC25" s="66">
        <f t="shared" si="1"/>
        <v>1327.2750000000001</v>
      </c>
      <c r="AD25" s="66">
        <v>6</v>
      </c>
      <c r="AE25" s="66">
        <f t="shared" si="18"/>
        <v>21551.627812499999</v>
      </c>
      <c r="AF25" s="75"/>
      <c r="AG25" s="69"/>
      <c r="AH25" s="75"/>
      <c r="AI25" s="73"/>
      <c r="AJ25" s="66"/>
      <c r="AK25" s="66"/>
      <c r="AL25" s="66"/>
      <c r="AM25" s="75"/>
      <c r="AN25" s="75"/>
      <c r="AO25" s="75"/>
      <c r="AP25" s="75">
        <v>1</v>
      </c>
      <c r="AQ25" s="75">
        <f t="shared" si="31"/>
        <v>4313</v>
      </c>
      <c r="AR25" s="66">
        <f t="shared" si="19"/>
        <v>7183.8759375</v>
      </c>
      <c r="AS25" s="73"/>
      <c r="AT25" s="73"/>
      <c r="AU25" s="73"/>
      <c r="AV25" s="73"/>
      <c r="AW25" s="66"/>
      <c r="AX25" s="66"/>
      <c r="AY25" s="66">
        <f t="shared" si="2"/>
        <v>48743.530624999999</v>
      </c>
      <c r="AZ25" s="66">
        <f t="shared" si="3"/>
        <v>106214.53812499999</v>
      </c>
      <c r="BA25" s="66">
        <f t="shared" ref="BA25:BA26" si="33">(AZ25-AZ25*10%-AQ25)</f>
        <v>91280.084312499996</v>
      </c>
      <c r="BB25" s="66">
        <f t="shared" ref="BB25:BB26" si="34">BA25*6%</f>
        <v>5476.8050587499993</v>
      </c>
      <c r="BC25" s="66">
        <f t="shared" ref="BC25:BC26" si="35">BA25*3.5%</f>
        <v>3194.8029509375001</v>
      </c>
      <c r="BD25" s="66">
        <f t="shared" ref="BD25:BD26" si="36">BA25*3%</f>
        <v>2738.4025293749996</v>
      </c>
      <c r="BE25" s="66">
        <f t="shared" ref="BE25:BE26" si="37">U25+V25</f>
        <v>71838.759374999994</v>
      </c>
      <c r="BF25" s="70">
        <f t="shared" ref="BF25:BF26" si="38">BB25+BC25+BD25+BE25</f>
        <v>83248.76991406249</v>
      </c>
      <c r="BG25" s="70">
        <f t="shared" si="11"/>
        <v>1274.5744575000001</v>
      </c>
      <c r="BH25" s="66">
        <f t="shared" si="12"/>
        <v>65.721660704999991</v>
      </c>
      <c r="BI25" s="66">
        <f t="shared" si="13"/>
        <v>38.337635411249998</v>
      </c>
      <c r="BJ25" s="66">
        <f t="shared" si="14"/>
        <v>32.860830352499995</v>
      </c>
      <c r="BK25" s="66">
        <f t="shared" si="15"/>
        <v>71.838759374999995</v>
      </c>
      <c r="BL25" s="70">
        <f t="shared" si="16"/>
        <v>1483.3333433437501</v>
      </c>
    </row>
    <row r="26" spans="2:64" ht="13" x14ac:dyDescent="0.3">
      <c r="B26" s="57"/>
      <c r="C26" s="58" t="s">
        <v>259</v>
      </c>
      <c r="D26" s="18" t="s">
        <v>151</v>
      </c>
      <c r="E26" s="123" t="s">
        <v>265</v>
      </c>
      <c r="F26" s="62">
        <v>9</v>
      </c>
      <c r="G26" s="59" t="s">
        <v>206</v>
      </c>
      <c r="H26" s="60" t="s">
        <v>178</v>
      </c>
      <c r="I26" s="61"/>
      <c r="J26" s="18"/>
      <c r="K26" s="62" t="s">
        <v>192</v>
      </c>
      <c r="L26" s="99">
        <v>4.33</v>
      </c>
      <c r="M26" s="97">
        <f t="shared" si="20"/>
        <v>153256.01999999999</v>
      </c>
      <c r="N26" s="64">
        <f t="shared" si="6"/>
        <v>2</v>
      </c>
      <c r="O26" s="63"/>
      <c r="P26" s="74"/>
      <c r="Q26" s="74">
        <v>2</v>
      </c>
      <c r="R26" s="66"/>
      <c r="S26" s="66">
        <f>M26/16*P26</f>
        <v>0</v>
      </c>
      <c r="T26" s="66">
        <f t="shared" si="32"/>
        <v>19157.002499999999</v>
      </c>
      <c r="U26" s="66">
        <f t="shared" si="0"/>
        <v>19157.002499999999</v>
      </c>
      <c r="V26" s="66">
        <f t="shared" si="17"/>
        <v>4789.2506249999997</v>
      </c>
      <c r="W26" s="68"/>
      <c r="X26" s="68"/>
      <c r="Y26" s="68">
        <v>2</v>
      </c>
      <c r="Z26" s="75"/>
      <c r="AA26" s="75"/>
      <c r="AB26" s="75">
        <f>17697/16*Y26*50%/2</f>
        <v>553.03125</v>
      </c>
      <c r="AC26" s="66"/>
      <c r="AD26" s="66">
        <v>2</v>
      </c>
      <c r="AE26" s="66">
        <f t="shared" si="18"/>
        <v>7183.8759375</v>
      </c>
      <c r="AF26" s="75"/>
      <c r="AG26" s="69"/>
      <c r="AH26" s="75"/>
      <c r="AI26" s="73"/>
      <c r="AJ26" s="66"/>
      <c r="AK26" s="66"/>
      <c r="AL26" s="66"/>
      <c r="AM26" s="75"/>
      <c r="AN26" s="75"/>
      <c r="AO26" s="75"/>
      <c r="AP26" s="75"/>
      <c r="AQ26" s="75"/>
      <c r="AR26" s="66">
        <f t="shared" si="19"/>
        <v>2394.6253124999998</v>
      </c>
      <c r="AS26" s="73"/>
      <c r="AT26" s="73"/>
      <c r="AU26" s="73"/>
      <c r="AV26" s="73"/>
      <c r="AW26" s="66"/>
      <c r="AX26" s="66"/>
      <c r="AY26" s="66">
        <f t="shared" si="2"/>
        <v>14367.751875</v>
      </c>
      <c r="AZ26" s="66">
        <f t="shared" si="3"/>
        <v>33524.754374999997</v>
      </c>
      <c r="BA26" s="66">
        <f t="shared" si="33"/>
        <v>30172.278937499996</v>
      </c>
      <c r="BB26" s="66">
        <f t="shared" si="34"/>
        <v>1810.3367362499996</v>
      </c>
      <c r="BC26" s="66">
        <f t="shared" si="35"/>
        <v>1056.0297628124999</v>
      </c>
      <c r="BD26" s="66">
        <f t="shared" si="36"/>
        <v>905.1683681249998</v>
      </c>
      <c r="BE26" s="66">
        <f t="shared" si="37"/>
        <v>23946.253124999999</v>
      </c>
      <c r="BF26" s="70">
        <f t="shared" si="38"/>
        <v>27717.787992187499</v>
      </c>
      <c r="BG26" s="70">
        <f t="shared" si="11"/>
        <v>402.29705250000001</v>
      </c>
      <c r="BH26" s="66">
        <f t="shared" si="12"/>
        <v>21.724040834999997</v>
      </c>
      <c r="BI26" s="66">
        <f t="shared" si="13"/>
        <v>12.672357153749999</v>
      </c>
      <c r="BJ26" s="66">
        <f t="shared" si="14"/>
        <v>10.862020417499998</v>
      </c>
      <c r="BK26" s="66">
        <f t="shared" si="15"/>
        <v>23.946253124999998</v>
      </c>
      <c r="BL26" s="70">
        <f t="shared" si="16"/>
        <v>471.50172403124998</v>
      </c>
    </row>
    <row r="27" spans="2:64" ht="13" x14ac:dyDescent="0.3">
      <c r="B27" s="57">
        <v>13</v>
      </c>
      <c r="C27" s="58" t="s">
        <v>186</v>
      </c>
      <c r="D27" s="18" t="s">
        <v>151</v>
      </c>
      <c r="E27" s="98" t="s">
        <v>187</v>
      </c>
      <c r="F27" s="62">
        <v>14.7</v>
      </c>
      <c r="G27" s="59" t="s">
        <v>188</v>
      </c>
      <c r="H27" s="60" t="s">
        <v>178</v>
      </c>
      <c r="I27" s="61"/>
      <c r="J27" s="18"/>
      <c r="K27" s="62" t="s">
        <v>192</v>
      </c>
      <c r="L27" s="99">
        <v>4.49</v>
      </c>
      <c r="M27" s="97">
        <f t="shared" si="20"/>
        <v>158919.06</v>
      </c>
      <c r="N27" s="64">
        <f t="shared" si="6"/>
        <v>17</v>
      </c>
      <c r="O27" s="63"/>
      <c r="P27" s="74">
        <v>7</v>
      </c>
      <c r="Q27" s="74">
        <v>10</v>
      </c>
      <c r="R27" s="66">
        <f t="shared" si="21"/>
        <v>0</v>
      </c>
      <c r="S27" s="66">
        <f t="shared" si="22"/>
        <v>69527.088749999995</v>
      </c>
      <c r="T27" s="66">
        <f t="shared" si="23"/>
        <v>99324.412500000006</v>
      </c>
      <c r="U27" s="66">
        <f t="shared" si="0"/>
        <v>168851.50125</v>
      </c>
      <c r="V27" s="66">
        <f t="shared" si="17"/>
        <v>42212.8753125</v>
      </c>
      <c r="W27" s="68"/>
      <c r="X27" s="68"/>
      <c r="Y27" s="67"/>
      <c r="Z27" s="75">
        <f>17697/16*W27*40%/2</f>
        <v>0</v>
      </c>
      <c r="AA27" s="75">
        <f>17697/18*X27*50%</f>
        <v>0</v>
      </c>
      <c r="AB27" s="75">
        <f>17697/18*Y27*50%/2</f>
        <v>0</v>
      </c>
      <c r="AC27" s="66">
        <f t="shared" si="1"/>
        <v>0</v>
      </c>
      <c r="AD27" s="66">
        <f t="shared" si="24"/>
        <v>17</v>
      </c>
      <c r="AE27" s="66">
        <f t="shared" si="18"/>
        <v>63319.312968749997</v>
      </c>
      <c r="AF27" s="75"/>
      <c r="AG27" s="113"/>
      <c r="AH27" s="75"/>
      <c r="AI27" s="73"/>
      <c r="AJ27" s="66"/>
      <c r="AK27" s="66"/>
      <c r="AL27" s="66"/>
      <c r="AM27" s="75"/>
      <c r="AN27" s="75"/>
      <c r="AO27" s="75"/>
      <c r="AP27" s="75">
        <v>1</v>
      </c>
      <c r="AQ27" s="75">
        <f t="shared" si="31"/>
        <v>4313</v>
      </c>
      <c r="AR27" s="66">
        <f t="shared" si="19"/>
        <v>21106.43765625</v>
      </c>
      <c r="AS27" s="73"/>
      <c r="AT27" s="73"/>
      <c r="AU27" s="73"/>
      <c r="AV27" s="73"/>
      <c r="AW27" s="66">
        <f t="shared" si="25"/>
        <v>0</v>
      </c>
      <c r="AX27" s="66"/>
      <c r="AY27" s="66">
        <f t="shared" si="2"/>
        <v>130951.62593749999</v>
      </c>
      <c r="AZ27" s="66">
        <f t="shared" si="3"/>
        <v>299803.12718750001</v>
      </c>
      <c r="BA27" s="66">
        <f t="shared" si="7"/>
        <v>265509.81446875003</v>
      </c>
      <c r="BB27" s="66">
        <f t="shared" si="8"/>
        <v>15930.588868125002</v>
      </c>
      <c r="BC27" s="66">
        <f t="shared" si="4"/>
        <v>9292.8435064062523</v>
      </c>
      <c r="BD27" s="66">
        <f t="shared" si="5"/>
        <v>7965.2944340625008</v>
      </c>
      <c r="BE27" s="66">
        <f t="shared" si="9"/>
        <v>211064.37656249999</v>
      </c>
      <c r="BF27" s="70">
        <f t="shared" si="10"/>
        <v>244253.10337109375</v>
      </c>
      <c r="BG27" s="70">
        <f t="shared" si="11"/>
        <v>3597.6375262500001</v>
      </c>
      <c r="BH27" s="66">
        <f t="shared" si="12"/>
        <v>191.16706641750002</v>
      </c>
      <c r="BI27" s="66">
        <f t="shared" si="13"/>
        <v>111.51412207687504</v>
      </c>
      <c r="BJ27" s="66">
        <f t="shared" si="14"/>
        <v>95.583533208750012</v>
      </c>
      <c r="BK27" s="66">
        <f t="shared" si="15"/>
        <v>211.0643765625</v>
      </c>
      <c r="BL27" s="70">
        <f t="shared" si="16"/>
        <v>4206.966624515625</v>
      </c>
    </row>
    <row r="28" spans="2:64" ht="13" x14ac:dyDescent="0.3">
      <c r="B28" s="57">
        <v>14</v>
      </c>
      <c r="C28" s="58" t="s">
        <v>189</v>
      </c>
      <c r="D28" s="18" t="s">
        <v>151</v>
      </c>
      <c r="E28" s="100" t="s">
        <v>190</v>
      </c>
      <c r="F28" s="15">
        <v>2</v>
      </c>
      <c r="G28" s="77" t="s">
        <v>191</v>
      </c>
      <c r="H28" s="71" t="s">
        <v>178</v>
      </c>
      <c r="I28" s="61"/>
      <c r="J28" s="18"/>
      <c r="K28" s="62" t="s">
        <v>179</v>
      </c>
      <c r="L28" s="15">
        <v>3.41</v>
      </c>
      <c r="M28" s="97">
        <f t="shared" si="20"/>
        <v>120693.54000000001</v>
      </c>
      <c r="N28" s="64">
        <f t="shared" si="6"/>
        <v>18</v>
      </c>
      <c r="O28" s="15">
        <v>2</v>
      </c>
      <c r="P28" s="74">
        <v>12</v>
      </c>
      <c r="Q28" s="65">
        <v>4</v>
      </c>
      <c r="R28" s="66">
        <f t="shared" si="21"/>
        <v>15086.692500000001</v>
      </c>
      <c r="S28" s="66">
        <f t="shared" si="22"/>
        <v>90520.154999999999</v>
      </c>
      <c r="T28" s="66">
        <f t="shared" si="23"/>
        <v>30173.385000000002</v>
      </c>
      <c r="U28" s="66">
        <f t="shared" si="0"/>
        <v>135780.23250000001</v>
      </c>
      <c r="V28" s="66">
        <f t="shared" si="17"/>
        <v>33945.058125000003</v>
      </c>
      <c r="W28" s="67">
        <v>2</v>
      </c>
      <c r="X28" s="68">
        <v>12</v>
      </c>
      <c r="Y28" s="67">
        <v>4</v>
      </c>
      <c r="Z28" s="75">
        <f>17697/18*W28*40%</f>
        <v>786.5333333333333</v>
      </c>
      <c r="AA28" s="75">
        <f>17697/16*X28*50%/2</f>
        <v>3318.1875</v>
      </c>
      <c r="AB28" s="75">
        <f>17697/16*Y28*50%/2</f>
        <v>1106.0625</v>
      </c>
      <c r="AC28" s="66">
        <f t="shared" si="1"/>
        <v>5210.7833333333328</v>
      </c>
      <c r="AD28" s="66">
        <f t="shared" si="24"/>
        <v>18</v>
      </c>
      <c r="AE28" s="66">
        <f t="shared" si="18"/>
        <v>50917.587187500008</v>
      </c>
      <c r="AF28" s="75"/>
      <c r="AG28" s="69">
        <f>17697*30%</f>
        <v>5309.0999999999995</v>
      </c>
      <c r="AH28" s="75"/>
      <c r="AI28" s="73"/>
      <c r="AJ28" s="66"/>
      <c r="AK28" s="66"/>
      <c r="AL28" s="66"/>
      <c r="AM28" s="75"/>
      <c r="AN28" s="75"/>
      <c r="AO28" s="75"/>
      <c r="AP28" s="75">
        <v>1</v>
      </c>
      <c r="AQ28" s="75">
        <f t="shared" si="31"/>
        <v>4313</v>
      </c>
      <c r="AR28" s="66">
        <f t="shared" si="19"/>
        <v>16972.529062500002</v>
      </c>
      <c r="AS28" s="73"/>
      <c r="AT28" s="73"/>
      <c r="AU28" s="73"/>
      <c r="AV28" s="73"/>
      <c r="AW28" s="66">
        <f t="shared" si="25"/>
        <v>0</v>
      </c>
      <c r="AX28" s="66"/>
      <c r="AY28" s="66">
        <f t="shared" si="2"/>
        <v>116668.05770833335</v>
      </c>
      <c r="AZ28" s="66">
        <f t="shared" si="3"/>
        <v>252448.29020833335</v>
      </c>
      <c r="BA28" s="66">
        <f t="shared" si="7"/>
        <v>222890.46118750001</v>
      </c>
      <c r="BB28" s="66">
        <f t="shared" si="8"/>
        <v>13373.42767125</v>
      </c>
      <c r="BC28" s="66">
        <f t="shared" si="4"/>
        <v>7801.1661415625013</v>
      </c>
      <c r="BD28" s="66">
        <f t="shared" si="5"/>
        <v>6686.7138356249998</v>
      </c>
      <c r="BE28" s="66">
        <f t="shared" si="9"/>
        <v>169725.29062500002</v>
      </c>
      <c r="BF28" s="70">
        <f t="shared" si="10"/>
        <v>197586.59827343753</v>
      </c>
      <c r="BG28" s="70">
        <f t="shared" si="11"/>
        <v>3029.3794825</v>
      </c>
      <c r="BH28" s="66">
        <f t="shared" si="12"/>
        <v>160.48113205499999</v>
      </c>
      <c r="BI28" s="66">
        <f t="shared" si="13"/>
        <v>93.613993698750008</v>
      </c>
      <c r="BJ28" s="66">
        <f t="shared" si="14"/>
        <v>80.240566027499995</v>
      </c>
      <c r="BK28" s="66">
        <f t="shared" si="15"/>
        <v>169.72529062500001</v>
      </c>
      <c r="BL28" s="70">
        <f t="shared" si="16"/>
        <v>3533.4404649062503</v>
      </c>
    </row>
    <row r="29" spans="2:64" ht="26" x14ac:dyDescent="0.3">
      <c r="B29" s="57">
        <v>15</v>
      </c>
      <c r="C29" s="58" t="s">
        <v>58</v>
      </c>
      <c r="D29" s="18" t="s">
        <v>151</v>
      </c>
      <c r="E29" s="72" t="s">
        <v>193</v>
      </c>
      <c r="F29" s="62">
        <v>16.399999999999999</v>
      </c>
      <c r="G29" s="59" t="s">
        <v>153</v>
      </c>
      <c r="H29" s="71" t="s">
        <v>178</v>
      </c>
      <c r="I29" s="61"/>
      <c r="J29" s="18"/>
      <c r="K29" s="62" t="s">
        <v>56</v>
      </c>
      <c r="L29" s="63">
        <v>3.65</v>
      </c>
      <c r="M29" s="97">
        <f t="shared" si="20"/>
        <v>129188.09999999999</v>
      </c>
      <c r="N29" s="64">
        <f t="shared" si="6"/>
        <v>4</v>
      </c>
      <c r="O29" s="63"/>
      <c r="P29" s="65">
        <v>4</v>
      </c>
      <c r="Q29" s="65"/>
      <c r="R29" s="66">
        <f t="shared" si="21"/>
        <v>0</v>
      </c>
      <c r="S29" s="66">
        <f t="shared" si="22"/>
        <v>32297.024999999998</v>
      </c>
      <c r="T29" s="66">
        <f t="shared" si="23"/>
        <v>0</v>
      </c>
      <c r="U29" s="66">
        <f t="shared" si="0"/>
        <v>32297.024999999998</v>
      </c>
      <c r="V29" s="66">
        <f t="shared" si="17"/>
        <v>8074.2562499999995</v>
      </c>
      <c r="W29" s="68"/>
      <c r="X29" s="68">
        <v>5</v>
      </c>
      <c r="Y29" s="67"/>
      <c r="Z29" s="75">
        <f t="shared" ref="Z29:Z32" si="39">17697/16*W29*40%/2</f>
        <v>0</v>
      </c>
      <c r="AA29" s="75">
        <f>17697/16*X29*50%</f>
        <v>2765.15625</v>
      </c>
      <c r="AB29" s="75">
        <f t="shared" ref="AB29:AB32" si="40">17697/18*Y29*50%/2</f>
        <v>0</v>
      </c>
      <c r="AC29" s="66">
        <f t="shared" si="1"/>
        <v>2765.15625</v>
      </c>
      <c r="AD29" s="66">
        <f t="shared" si="24"/>
        <v>4</v>
      </c>
      <c r="AE29" s="66">
        <f t="shared" si="18"/>
        <v>12111.384375</v>
      </c>
      <c r="AF29" s="75"/>
      <c r="AG29" s="69"/>
      <c r="AH29" s="75"/>
      <c r="AI29" s="73"/>
      <c r="AJ29" s="66"/>
      <c r="AK29" s="66"/>
      <c r="AL29" s="66"/>
      <c r="AM29" s="75"/>
      <c r="AN29" s="75"/>
      <c r="AO29" s="75"/>
      <c r="AP29" s="75">
        <v>1</v>
      </c>
      <c r="AQ29" s="75">
        <f t="shared" si="31"/>
        <v>4313</v>
      </c>
      <c r="AR29" s="66">
        <f t="shared" si="19"/>
        <v>4037.1281250000002</v>
      </c>
      <c r="AS29" s="73"/>
      <c r="AT29" s="73"/>
      <c r="AU29" s="73"/>
      <c r="AV29" s="73"/>
      <c r="AW29" s="66">
        <f t="shared" si="25"/>
        <v>0</v>
      </c>
      <c r="AX29" s="66"/>
      <c r="AY29" s="66">
        <f t="shared" si="2"/>
        <v>31300.924999999999</v>
      </c>
      <c r="AZ29" s="66">
        <f t="shared" si="3"/>
        <v>63597.95</v>
      </c>
      <c r="BA29" s="66">
        <f t="shared" si="7"/>
        <v>52925.154999999999</v>
      </c>
      <c r="BB29" s="66">
        <f t="shared" si="8"/>
        <v>3175.5092999999997</v>
      </c>
      <c r="BC29" s="66">
        <f t="shared" si="4"/>
        <v>1852.3804250000001</v>
      </c>
      <c r="BD29" s="66">
        <f t="shared" si="5"/>
        <v>1587.7546499999999</v>
      </c>
      <c r="BE29" s="66">
        <f t="shared" si="9"/>
        <v>40371.28125</v>
      </c>
      <c r="BF29" s="70">
        <f t="shared" si="10"/>
        <v>46986.925625000003</v>
      </c>
      <c r="BG29" s="70">
        <f t="shared" si="11"/>
        <v>763.17539999999985</v>
      </c>
      <c r="BH29" s="66">
        <f t="shared" si="12"/>
        <v>38.106111599999998</v>
      </c>
      <c r="BI29" s="66">
        <f t="shared" si="13"/>
        <v>22.228565100000001</v>
      </c>
      <c r="BJ29" s="66">
        <f t="shared" si="14"/>
        <v>19.053055799999999</v>
      </c>
      <c r="BK29" s="66">
        <f t="shared" si="15"/>
        <v>40.371281250000003</v>
      </c>
      <c r="BL29" s="70">
        <f t="shared" si="16"/>
        <v>882.93441374999986</v>
      </c>
    </row>
    <row r="30" spans="2:64" ht="31.5" customHeight="1" x14ac:dyDescent="0.3">
      <c r="B30" s="57"/>
      <c r="C30" s="58" t="s">
        <v>58</v>
      </c>
      <c r="D30" s="18" t="s">
        <v>151</v>
      </c>
      <c r="E30" s="72" t="s">
        <v>193</v>
      </c>
      <c r="F30" s="76">
        <v>16.399999999999999</v>
      </c>
      <c r="G30" s="59" t="s">
        <v>194</v>
      </c>
      <c r="H30" s="60" t="s">
        <v>195</v>
      </c>
      <c r="I30" s="61"/>
      <c r="J30" s="18"/>
      <c r="K30" s="76" t="s">
        <v>196</v>
      </c>
      <c r="L30" s="78">
        <v>4.4000000000000004</v>
      </c>
      <c r="M30" s="97">
        <f t="shared" si="20"/>
        <v>155733.6</v>
      </c>
      <c r="N30" s="64">
        <f t="shared" si="6"/>
        <v>4</v>
      </c>
      <c r="O30" s="63"/>
      <c r="P30" s="65">
        <v>2</v>
      </c>
      <c r="Q30" s="65">
        <v>2</v>
      </c>
      <c r="R30" s="66">
        <f t="shared" si="21"/>
        <v>0</v>
      </c>
      <c r="S30" s="66">
        <f t="shared" si="22"/>
        <v>19466.7</v>
      </c>
      <c r="T30" s="66">
        <f t="shared" si="23"/>
        <v>19466.7</v>
      </c>
      <c r="U30" s="66">
        <f t="shared" si="0"/>
        <v>38933.4</v>
      </c>
      <c r="V30" s="66">
        <f t="shared" si="17"/>
        <v>9733.35</v>
      </c>
      <c r="W30" s="68"/>
      <c r="X30" s="68"/>
      <c r="Y30" s="67"/>
      <c r="Z30" s="75">
        <f t="shared" si="39"/>
        <v>0</v>
      </c>
      <c r="AA30" s="75">
        <f t="shared" ref="AA30:AA32" si="41">17697/18*X30*50%</f>
        <v>0</v>
      </c>
      <c r="AB30" s="75">
        <f t="shared" si="40"/>
        <v>0</v>
      </c>
      <c r="AC30" s="66">
        <f t="shared" si="1"/>
        <v>0</v>
      </c>
      <c r="AD30" s="66">
        <f t="shared" si="24"/>
        <v>4</v>
      </c>
      <c r="AE30" s="66">
        <f t="shared" si="18"/>
        <v>14600.025</v>
      </c>
      <c r="AF30" s="75"/>
      <c r="AG30" s="69"/>
      <c r="AH30" s="75"/>
      <c r="AI30" s="73"/>
      <c r="AJ30" s="66"/>
      <c r="AK30" s="66"/>
      <c r="AL30" s="66"/>
      <c r="AM30" s="75">
        <v>17697</v>
      </c>
      <c r="AN30" s="75"/>
      <c r="AO30" s="75"/>
      <c r="AP30" s="75"/>
      <c r="AQ30" s="75">
        <f t="shared" si="28"/>
        <v>0</v>
      </c>
      <c r="AR30" s="66">
        <f t="shared" si="19"/>
        <v>4866.6750000000002</v>
      </c>
      <c r="AS30" s="73">
        <f>(U30+V30)*40%</f>
        <v>19466.7</v>
      </c>
      <c r="AT30" s="73"/>
      <c r="AU30" s="73"/>
      <c r="AV30" s="73"/>
      <c r="AW30" s="66">
        <f t="shared" si="25"/>
        <v>19466.7</v>
      </c>
      <c r="AX30" s="66"/>
      <c r="AY30" s="66">
        <f t="shared" si="2"/>
        <v>66363.75</v>
      </c>
      <c r="AZ30" s="66">
        <f t="shared" si="3"/>
        <v>105297.15</v>
      </c>
      <c r="BA30" s="66">
        <f t="shared" si="7"/>
        <v>94767.434999999998</v>
      </c>
      <c r="BB30" s="66">
        <f t="shared" si="8"/>
        <v>5686.0460999999996</v>
      </c>
      <c r="BC30" s="66">
        <f t="shared" si="4"/>
        <v>3316.8602250000004</v>
      </c>
      <c r="BD30" s="66">
        <f t="shared" si="5"/>
        <v>2843.0230499999998</v>
      </c>
      <c r="BE30" s="66">
        <f t="shared" si="9"/>
        <v>48666.75</v>
      </c>
      <c r="BF30" s="70">
        <f t="shared" si="10"/>
        <v>60512.679375</v>
      </c>
      <c r="BG30" s="70">
        <f t="shared" si="11"/>
        <v>1263.5657999999999</v>
      </c>
      <c r="BH30" s="66">
        <f t="shared" si="12"/>
        <v>68.232553199999998</v>
      </c>
      <c r="BI30" s="66">
        <f t="shared" si="13"/>
        <v>39.802322700000005</v>
      </c>
      <c r="BJ30" s="66">
        <f t="shared" si="14"/>
        <v>34.116276599999999</v>
      </c>
      <c r="BK30" s="66">
        <f t="shared" si="15"/>
        <v>48.66675</v>
      </c>
      <c r="BL30" s="70">
        <f t="shared" si="16"/>
        <v>1454.3837025</v>
      </c>
    </row>
    <row r="31" spans="2:64" ht="13" x14ac:dyDescent="0.3">
      <c r="B31" s="57">
        <v>16</v>
      </c>
      <c r="C31" s="58" t="s">
        <v>197</v>
      </c>
      <c r="D31" s="18" t="s">
        <v>151</v>
      </c>
      <c r="E31" s="72" t="s">
        <v>198</v>
      </c>
      <c r="F31" s="62">
        <v>14</v>
      </c>
      <c r="G31" s="59" t="s">
        <v>199</v>
      </c>
      <c r="H31" s="71" t="s">
        <v>178</v>
      </c>
      <c r="I31" s="61"/>
      <c r="J31" s="18"/>
      <c r="K31" s="62" t="s">
        <v>179</v>
      </c>
      <c r="L31" s="63">
        <v>3.57</v>
      </c>
      <c r="M31" s="97">
        <f t="shared" si="20"/>
        <v>126356.57999999999</v>
      </c>
      <c r="N31" s="64">
        <f t="shared" si="6"/>
        <v>11</v>
      </c>
      <c r="O31" s="63"/>
      <c r="P31" s="65">
        <v>8</v>
      </c>
      <c r="Q31" s="65">
        <v>3</v>
      </c>
      <c r="R31" s="66">
        <f t="shared" si="21"/>
        <v>0</v>
      </c>
      <c r="S31" s="66">
        <f t="shared" si="22"/>
        <v>63178.289999999994</v>
      </c>
      <c r="T31" s="66">
        <f t="shared" si="23"/>
        <v>23691.858749999999</v>
      </c>
      <c r="U31" s="66">
        <f t="shared" si="0"/>
        <v>86870.148749999993</v>
      </c>
      <c r="V31" s="66">
        <f t="shared" si="17"/>
        <v>21717.537187499998</v>
      </c>
      <c r="W31" s="68"/>
      <c r="X31" s="68"/>
      <c r="Y31" s="67"/>
      <c r="Z31" s="75">
        <f t="shared" si="39"/>
        <v>0</v>
      </c>
      <c r="AA31" s="75">
        <f t="shared" si="41"/>
        <v>0</v>
      </c>
      <c r="AB31" s="75">
        <f t="shared" si="40"/>
        <v>0</v>
      </c>
      <c r="AC31" s="66">
        <f t="shared" si="1"/>
        <v>0</v>
      </c>
      <c r="AD31" s="66">
        <f t="shared" si="24"/>
        <v>11</v>
      </c>
      <c r="AE31" s="66">
        <f t="shared" si="18"/>
        <v>32576.305781249997</v>
      </c>
      <c r="AF31" s="75"/>
      <c r="AG31" s="69">
        <v>5309</v>
      </c>
      <c r="AH31" s="75"/>
      <c r="AI31" s="73"/>
      <c r="AJ31" s="66"/>
      <c r="AK31" s="66"/>
      <c r="AL31" s="66"/>
      <c r="AM31" s="75"/>
      <c r="AN31" s="75"/>
      <c r="AO31" s="75"/>
      <c r="AP31" s="75">
        <v>1</v>
      </c>
      <c r="AQ31" s="75">
        <f>4313*AP31</f>
        <v>4313</v>
      </c>
      <c r="AR31" s="66">
        <f t="shared" si="19"/>
        <v>10858.768593749999</v>
      </c>
      <c r="AS31" s="73"/>
      <c r="AT31" s="73"/>
      <c r="AU31" s="73"/>
      <c r="AV31" s="73"/>
      <c r="AW31" s="66">
        <f t="shared" si="25"/>
        <v>0</v>
      </c>
      <c r="AX31" s="66"/>
      <c r="AY31" s="66">
        <f t="shared" si="2"/>
        <v>74774.611562499995</v>
      </c>
      <c r="AZ31" s="66">
        <f t="shared" si="3"/>
        <v>161644.7603125</v>
      </c>
      <c r="BA31" s="66">
        <f>(AZ31-AZ31*10%-AQ31)</f>
        <v>141167.28428125</v>
      </c>
      <c r="BB31" s="66">
        <f t="shared" si="8"/>
        <v>8470.0370568750004</v>
      </c>
      <c r="BC31" s="66">
        <f t="shared" si="4"/>
        <v>4940.8549498437505</v>
      </c>
      <c r="BD31" s="66">
        <f t="shared" si="5"/>
        <v>4235.0185284375002</v>
      </c>
      <c r="BE31" s="66">
        <f t="shared" si="9"/>
        <v>108587.68593749999</v>
      </c>
      <c r="BF31" s="70">
        <f t="shared" si="10"/>
        <v>126233.59647265624</v>
      </c>
      <c r="BG31" s="70">
        <f t="shared" si="11"/>
        <v>1939.7371237500001</v>
      </c>
      <c r="BH31" s="66">
        <f t="shared" si="12"/>
        <v>101.6404446825</v>
      </c>
      <c r="BI31" s="66">
        <f t="shared" si="13"/>
        <v>59.290259398125009</v>
      </c>
      <c r="BJ31" s="66">
        <f t="shared" si="14"/>
        <v>50.820222341250002</v>
      </c>
      <c r="BK31" s="66">
        <f t="shared" si="15"/>
        <v>108.5876859375</v>
      </c>
      <c r="BL31" s="70">
        <f t="shared" si="16"/>
        <v>2260.0757361093747</v>
      </c>
    </row>
    <row r="32" spans="2:64" ht="13" x14ac:dyDescent="0.3">
      <c r="B32" s="57"/>
      <c r="C32" s="58" t="s">
        <v>197</v>
      </c>
      <c r="D32" s="18" t="s">
        <v>151</v>
      </c>
      <c r="E32" s="72" t="s">
        <v>198</v>
      </c>
      <c r="F32" s="62">
        <v>14</v>
      </c>
      <c r="G32" s="59" t="s">
        <v>188</v>
      </c>
      <c r="H32" s="71" t="s">
        <v>178</v>
      </c>
      <c r="I32" s="61"/>
      <c r="J32" s="18"/>
      <c r="K32" s="62" t="s">
        <v>192</v>
      </c>
      <c r="L32" s="63">
        <v>4.38</v>
      </c>
      <c r="M32" s="97">
        <f t="shared" si="20"/>
        <v>155025.72</v>
      </c>
      <c r="N32" s="64">
        <f t="shared" si="6"/>
        <v>8</v>
      </c>
      <c r="O32" s="63"/>
      <c r="P32" s="74">
        <v>6</v>
      </c>
      <c r="Q32" s="74">
        <v>2</v>
      </c>
      <c r="R32" s="66"/>
      <c r="S32" s="66">
        <f t="shared" si="22"/>
        <v>58134.645000000004</v>
      </c>
      <c r="T32" s="66">
        <f t="shared" si="23"/>
        <v>19378.215</v>
      </c>
      <c r="U32" s="66">
        <f t="shared" si="0"/>
        <v>77512.86</v>
      </c>
      <c r="V32" s="66">
        <f t="shared" si="17"/>
        <v>19378.215</v>
      </c>
      <c r="W32" s="68"/>
      <c r="X32" s="68"/>
      <c r="Y32" s="67"/>
      <c r="Z32" s="75">
        <f t="shared" si="39"/>
        <v>0</v>
      </c>
      <c r="AA32" s="75">
        <f t="shared" si="41"/>
        <v>0</v>
      </c>
      <c r="AB32" s="75">
        <f t="shared" si="40"/>
        <v>0</v>
      </c>
      <c r="AC32" s="66">
        <f t="shared" si="1"/>
        <v>0</v>
      </c>
      <c r="AD32" s="66">
        <f t="shared" si="24"/>
        <v>8</v>
      </c>
      <c r="AE32" s="66">
        <f t="shared" si="18"/>
        <v>29067.322499999998</v>
      </c>
      <c r="AF32" s="75"/>
      <c r="AG32" s="69"/>
      <c r="AH32" s="75"/>
      <c r="AI32" s="73"/>
      <c r="AJ32" s="66"/>
      <c r="AK32" s="66"/>
      <c r="AL32" s="66"/>
      <c r="AM32" s="75"/>
      <c r="AN32" s="75"/>
      <c r="AO32" s="75"/>
      <c r="AP32" s="75"/>
      <c r="AQ32" s="75">
        <f t="shared" si="28"/>
        <v>0</v>
      </c>
      <c r="AR32" s="66">
        <f t="shared" si="19"/>
        <v>9689.1075000000001</v>
      </c>
      <c r="AS32" s="73"/>
      <c r="AT32" s="73"/>
      <c r="AU32" s="73"/>
      <c r="AV32" s="73"/>
      <c r="AW32" s="66">
        <f t="shared" si="25"/>
        <v>0</v>
      </c>
      <c r="AX32" s="66"/>
      <c r="AY32" s="66">
        <f t="shared" si="2"/>
        <v>58134.644999999997</v>
      </c>
      <c r="AZ32" s="66">
        <f t="shared" si="3"/>
        <v>135647.505</v>
      </c>
      <c r="BA32" s="66">
        <f t="shared" si="7"/>
        <v>122082.75450000001</v>
      </c>
      <c r="BB32" s="66">
        <f t="shared" si="8"/>
        <v>7324.9652700000006</v>
      </c>
      <c r="BC32" s="66">
        <f t="shared" si="4"/>
        <v>4272.8964075000004</v>
      </c>
      <c r="BD32" s="66">
        <f t="shared" si="5"/>
        <v>3662.4826350000003</v>
      </c>
      <c r="BE32" s="66">
        <f t="shared" si="9"/>
        <v>96891.074999999997</v>
      </c>
      <c r="BF32" s="70">
        <f t="shared" si="10"/>
        <v>112151.4193125</v>
      </c>
      <c r="BG32" s="70">
        <f t="shared" si="11"/>
        <v>1627.7700600000001</v>
      </c>
      <c r="BH32" s="66">
        <f t="shared" si="12"/>
        <v>87.899583240000013</v>
      </c>
      <c r="BI32" s="66">
        <f t="shared" si="13"/>
        <v>51.274756890000006</v>
      </c>
      <c r="BJ32" s="66">
        <f t="shared" si="14"/>
        <v>43.949791620000006</v>
      </c>
      <c r="BK32" s="66">
        <f t="shared" si="15"/>
        <v>96.891075000000001</v>
      </c>
      <c r="BL32" s="70">
        <f t="shared" si="16"/>
        <v>1907.7852667500001</v>
      </c>
    </row>
    <row r="33" spans="2:64" ht="13" x14ac:dyDescent="0.3">
      <c r="B33" s="57">
        <v>17</v>
      </c>
      <c r="C33" s="112" t="s">
        <v>200</v>
      </c>
      <c r="D33" s="18" t="s">
        <v>151</v>
      </c>
      <c r="E33" s="18" t="s">
        <v>201</v>
      </c>
      <c r="F33" s="76">
        <v>2</v>
      </c>
      <c r="G33" s="111" t="s">
        <v>202</v>
      </c>
      <c r="H33" s="71" t="s">
        <v>178</v>
      </c>
      <c r="I33" s="61"/>
      <c r="J33" s="18"/>
      <c r="K33" s="76" t="s">
        <v>179</v>
      </c>
      <c r="L33" s="112">
        <v>3.41</v>
      </c>
      <c r="M33" s="97">
        <f t="shared" si="20"/>
        <v>120693.54000000001</v>
      </c>
      <c r="N33" s="64">
        <f t="shared" si="6"/>
        <v>16</v>
      </c>
      <c r="O33" s="112"/>
      <c r="P33" s="74">
        <v>8</v>
      </c>
      <c r="Q33" s="74">
        <v>8</v>
      </c>
      <c r="R33" s="66">
        <f t="shared" si="21"/>
        <v>0</v>
      </c>
      <c r="S33" s="66">
        <f t="shared" si="22"/>
        <v>60346.770000000004</v>
      </c>
      <c r="T33" s="66">
        <f t="shared" si="23"/>
        <v>60346.770000000004</v>
      </c>
      <c r="U33" s="66">
        <f t="shared" si="0"/>
        <v>120693.54000000001</v>
      </c>
      <c r="V33" s="66">
        <f t="shared" si="17"/>
        <v>30173.385000000002</v>
      </c>
      <c r="W33" s="68"/>
      <c r="X33" s="68">
        <v>8</v>
      </c>
      <c r="Y33" s="68">
        <v>8</v>
      </c>
      <c r="Z33" s="75">
        <f>17697/18*W33*40%/2</f>
        <v>0</v>
      </c>
      <c r="AA33" s="75">
        <f>17697/16*16*40%/2</f>
        <v>3539.4</v>
      </c>
      <c r="AB33" s="75">
        <f>17697/18*Y33*40%/2</f>
        <v>1573.0666666666666</v>
      </c>
      <c r="AC33" s="66">
        <f t="shared" si="1"/>
        <v>5112.4666666666672</v>
      </c>
      <c r="AD33" s="66">
        <f t="shared" si="24"/>
        <v>16</v>
      </c>
      <c r="AE33" s="66">
        <f t="shared" si="18"/>
        <v>45260.077500000007</v>
      </c>
      <c r="AF33" s="75"/>
      <c r="AG33" s="69">
        <v>5309</v>
      </c>
      <c r="AH33" s="75"/>
      <c r="AI33" s="73"/>
      <c r="AJ33" s="66"/>
      <c r="AK33" s="66"/>
      <c r="AL33" s="66"/>
      <c r="AM33" s="75"/>
      <c r="AN33" s="75"/>
      <c r="AO33" s="75"/>
      <c r="AP33" s="75">
        <v>1</v>
      </c>
      <c r="AQ33" s="75">
        <f>4313*AP33</f>
        <v>4313</v>
      </c>
      <c r="AR33" s="66">
        <f t="shared" si="19"/>
        <v>15086.692500000003</v>
      </c>
      <c r="AS33" s="73"/>
      <c r="AT33" s="73"/>
      <c r="AU33" s="73"/>
      <c r="AV33" s="73"/>
      <c r="AW33" s="66">
        <f t="shared" si="25"/>
        <v>0</v>
      </c>
      <c r="AX33" s="66"/>
      <c r="AY33" s="66">
        <f t="shared" si="2"/>
        <v>105254.62166666667</v>
      </c>
      <c r="AZ33" s="66">
        <f t="shared" si="3"/>
        <v>225948.16166666668</v>
      </c>
      <c r="BA33" s="66">
        <f t="shared" si="7"/>
        <v>199040.3455</v>
      </c>
      <c r="BB33" s="66">
        <f t="shared" si="8"/>
        <v>11942.42073</v>
      </c>
      <c r="BC33" s="66">
        <f t="shared" si="4"/>
        <v>6966.4120925000007</v>
      </c>
      <c r="BD33" s="66">
        <f t="shared" si="5"/>
        <v>5971.2103649999999</v>
      </c>
      <c r="BE33" s="66">
        <f t="shared" si="9"/>
        <v>150866.92500000002</v>
      </c>
      <c r="BF33" s="70">
        <f t="shared" si="10"/>
        <v>175746.96818750002</v>
      </c>
      <c r="BG33" s="70">
        <f t="shared" si="11"/>
        <v>2711.3779400000003</v>
      </c>
      <c r="BH33" s="66">
        <f t="shared" si="12"/>
        <v>143.30904876</v>
      </c>
      <c r="BI33" s="66">
        <f t="shared" si="13"/>
        <v>83.596945110000007</v>
      </c>
      <c r="BJ33" s="66">
        <f t="shared" si="14"/>
        <v>71.654524379999998</v>
      </c>
      <c r="BK33" s="66">
        <f t="shared" si="15"/>
        <v>150.86692500000001</v>
      </c>
      <c r="BL33" s="70">
        <f t="shared" si="16"/>
        <v>3160.8053832500004</v>
      </c>
    </row>
    <row r="34" spans="2:64" ht="13" x14ac:dyDescent="0.3">
      <c r="B34" s="57">
        <v>18</v>
      </c>
      <c r="C34" s="63" t="s">
        <v>246</v>
      </c>
      <c r="D34" s="18" t="s">
        <v>151</v>
      </c>
      <c r="E34" s="100" t="s">
        <v>238</v>
      </c>
      <c r="F34" s="76">
        <v>0</v>
      </c>
      <c r="G34" s="111" t="s">
        <v>202</v>
      </c>
      <c r="H34" s="71" t="s">
        <v>178</v>
      </c>
      <c r="I34" s="61"/>
      <c r="J34" s="18"/>
      <c r="K34" s="76" t="s">
        <v>179</v>
      </c>
      <c r="L34" s="78">
        <v>3.32</v>
      </c>
      <c r="M34" s="97">
        <f t="shared" si="20"/>
        <v>117508.07999999999</v>
      </c>
      <c r="N34" s="64">
        <f t="shared" si="6"/>
        <v>12</v>
      </c>
      <c r="O34" s="63"/>
      <c r="P34" s="65">
        <v>12</v>
      </c>
      <c r="Q34" s="65"/>
      <c r="R34" s="66">
        <f t="shared" si="21"/>
        <v>0</v>
      </c>
      <c r="S34" s="66">
        <f t="shared" si="22"/>
        <v>88131.06</v>
      </c>
      <c r="T34" s="66">
        <f t="shared" si="23"/>
        <v>0</v>
      </c>
      <c r="U34" s="66">
        <f t="shared" si="0"/>
        <v>88131.06</v>
      </c>
      <c r="V34" s="66">
        <f t="shared" si="17"/>
        <v>22032.764999999999</v>
      </c>
      <c r="W34" s="68"/>
      <c r="X34" s="68">
        <v>12</v>
      </c>
      <c r="Y34" s="68"/>
      <c r="Z34" s="75"/>
      <c r="AA34" s="75"/>
      <c r="AB34" s="75"/>
      <c r="AC34" s="66">
        <f t="shared" si="1"/>
        <v>0</v>
      </c>
      <c r="AD34" s="66">
        <v>12</v>
      </c>
      <c r="AE34" s="66">
        <f t="shared" si="18"/>
        <v>33049.147499999999</v>
      </c>
      <c r="AF34" s="75"/>
      <c r="AG34" s="69"/>
      <c r="AH34" s="75"/>
      <c r="AI34" s="73"/>
      <c r="AJ34" s="66"/>
      <c r="AK34" s="66"/>
      <c r="AL34" s="66"/>
      <c r="AM34" s="75"/>
      <c r="AN34" s="75"/>
      <c r="AO34" s="75"/>
      <c r="AP34" s="75">
        <v>1</v>
      </c>
      <c r="AQ34" s="75">
        <f t="shared" ref="AQ34:AQ37" si="42">4313*AP34</f>
        <v>4313</v>
      </c>
      <c r="AR34" s="66">
        <f t="shared" si="19"/>
        <v>11016.3825</v>
      </c>
      <c r="AS34" s="73"/>
      <c r="AT34" s="73"/>
      <c r="AU34" s="73"/>
      <c r="AV34" s="73"/>
      <c r="AW34" s="66">
        <f t="shared" si="25"/>
        <v>0</v>
      </c>
      <c r="AX34" s="66"/>
      <c r="AY34" s="66">
        <f t="shared" si="2"/>
        <v>70411.294999999998</v>
      </c>
      <c r="AZ34" s="66">
        <f t="shared" si="3"/>
        <v>158542.35499999998</v>
      </c>
      <c r="BA34" s="66">
        <f t="shared" si="7"/>
        <v>138375.11949999997</v>
      </c>
      <c r="BB34" s="66">
        <f t="shared" si="8"/>
        <v>8302.5071699999971</v>
      </c>
      <c r="BC34" s="66">
        <f t="shared" si="4"/>
        <v>4843.1291824999998</v>
      </c>
      <c r="BD34" s="66">
        <f t="shared" si="5"/>
        <v>4151.2535849999986</v>
      </c>
      <c r="BE34" s="66">
        <f t="shared" si="9"/>
        <v>110163.825</v>
      </c>
      <c r="BF34" s="70">
        <f t="shared" si="10"/>
        <v>127460.71493749999</v>
      </c>
      <c r="BG34" s="70">
        <f t="shared" si="11"/>
        <v>1902.5082599999998</v>
      </c>
      <c r="BH34" s="66">
        <f t="shared" si="12"/>
        <v>99.630086039999966</v>
      </c>
      <c r="BI34" s="66">
        <f t="shared" si="13"/>
        <v>58.117550189999996</v>
      </c>
      <c r="BJ34" s="66">
        <f t="shared" si="14"/>
        <v>49.815043019999983</v>
      </c>
      <c r="BK34" s="66">
        <f t="shared" si="15"/>
        <v>110.163825</v>
      </c>
      <c r="BL34" s="70">
        <f t="shared" si="16"/>
        <v>2220.2347642499999</v>
      </c>
    </row>
    <row r="35" spans="2:64" ht="35" x14ac:dyDescent="0.3">
      <c r="B35" s="57">
        <v>19</v>
      </c>
      <c r="C35" s="63" t="s">
        <v>237</v>
      </c>
      <c r="D35" s="18" t="s">
        <v>151</v>
      </c>
      <c r="E35" s="100" t="s">
        <v>260</v>
      </c>
      <c r="F35" s="76">
        <v>1.7</v>
      </c>
      <c r="G35" s="82" t="s">
        <v>241</v>
      </c>
      <c r="H35" s="71" t="s">
        <v>178</v>
      </c>
      <c r="I35" s="61"/>
      <c r="J35" s="18"/>
      <c r="K35" s="76" t="s">
        <v>179</v>
      </c>
      <c r="L35" s="78">
        <v>3.36</v>
      </c>
      <c r="M35" s="97">
        <f t="shared" si="20"/>
        <v>118923.84</v>
      </c>
      <c r="N35" s="64">
        <f t="shared" si="6"/>
        <v>6</v>
      </c>
      <c r="O35" s="63"/>
      <c r="P35" s="65">
        <v>6</v>
      </c>
      <c r="Q35" s="65"/>
      <c r="R35" s="66">
        <f t="shared" si="21"/>
        <v>0</v>
      </c>
      <c r="S35" s="66">
        <f t="shared" si="22"/>
        <v>44596.44</v>
      </c>
      <c r="T35" s="66">
        <f t="shared" si="23"/>
        <v>0</v>
      </c>
      <c r="U35" s="66">
        <f t="shared" si="0"/>
        <v>44596.44</v>
      </c>
      <c r="V35" s="66">
        <f t="shared" si="17"/>
        <v>11149.11</v>
      </c>
      <c r="W35" s="68"/>
      <c r="X35" s="68"/>
      <c r="Y35" s="68"/>
      <c r="Z35" s="75">
        <f>17697/16*W35*40%/2</f>
        <v>0</v>
      </c>
      <c r="AA35" s="75">
        <f>17697/16*X35*40%/2</f>
        <v>0</v>
      </c>
      <c r="AB35" s="75">
        <f>17697/16*Y35*40%/2</f>
        <v>0</v>
      </c>
      <c r="AC35" s="66">
        <f t="shared" si="1"/>
        <v>0</v>
      </c>
      <c r="AD35" s="66">
        <f t="shared" si="24"/>
        <v>6</v>
      </c>
      <c r="AE35" s="66">
        <f t="shared" si="18"/>
        <v>16723.665000000001</v>
      </c>
      <c r="AF35" s="75"/>
      <c r="AG35" s="69"/>
      <c r="AH35" s="75"/>
      <c r="AI35" s="67"/>
      <c r="AJ35" s="66"/>
      <c r="AK35" s="66"/>
      <c r="AL35" s="66"/>
      <c r="AM35" s="75"/>
      <c r="AN35" s="75"/>
      <c r="AO35" s="75"/>
      <c r="AP35" s="75"/>
      <c r="AQ35" s="75">
        <f t="shared" si="42"/>
        <v>0</v>
      </c>
      <c r="AR35" s="66">
        <f t="shared" si="19"/>
        <v>5574.5550000000003</v>
      </c>
      <c r="AS35" s="73"/>
      <c r="AT35" s="73"/>
      <c r="AU35" s="73"/>
      <c r="AV35" s="73"/>
      <c r="AW35" s="66">
        <f t="shared" si="25"/>
        <v>0</v>
      </c>
      <c r="AX35" s="66"/>
      <c r="AY35" s="66">
        <f t="shared" si="2"/>
        <v>33447.33</v>
      </c>
      <c r="AZ35" s="66">
        <f t="shared" si="3"/>
        <v>78043.77</v>
      </c>
      <c r="BA35" s="66">
        <f t="shared" si="7"/>
        <v>70239.393000000011</v>
      </c>
      <c r="BB35" s="66">
        <f t="shared" si="8"/>
        <v>4214.3635800000002</v>
      </c>
      <c r="BC35" s="66">
        <f t="shared" si="4"/>
        <v>2458.3787550000006</v>
      </c>
      <c r="BD35" s="66">
        <f t="shared" si="5"/>
        <v>2107.1817900000001</v>
      </c>
      <c r="BE35" s="66">
        <f t="shared" si="9"/>
        <v>55745.55</v>
      </c>
      <c r="BF35" s="70">
        <f t="shared" si="10"/>
        <v>64525.474125000008</v>
      </c>
      <c r="BG35" s="70">
        <f t="shared" si="11"/>
        <v>936.52523999999994</v>
      </c>
      <c r="BH35" s="66">
        <f t="shared" si="12"/>
        <v>50.57236296</v>
      </c>
      <c r="BI35" s="66">
        <f t="shared" si="13"/>
        <v>29.500545060000007</v>
      </c>
      <c r="BJ35" s="66">
        <f t="shared" si="14"/>
        <v>25.28618148</v>
      </c>
      <c r="BK35" s="66">
        <f t="shared" si="15"/>
        <v>55.745550000000001</v>
      </c>
      <c r="BL35" s="70">
        <f t="shared" si="16"/>
        <v>1097.6298795</v>
      </c>
    </row>
    <row r="36" spans="2:64" ht="13" x14ac:dyDescent="0.3">
      <c r="B36" s="57">
        <v>20</v>
      </c>
      <c r="C36" s="63" t="s">
        <v>239</v>
      </c>
      <c r="D36" s="18" t="s">
        <v>151</v>
      </c>
      <c r="E36" s="100" t="s">
        <v>261</v>
      </c>
      <c r="F36" s="76">
        <v>14.6</v>
      </c>
      <c r="G36" s="82" t="s">
        <v>244</v>
      </c>
      <c r="H36" s="71" t="s">
        <v>178</v>
      </c>
      <c r="I36" s="61"/>
      <c r="J36" s="18"/>
      <c r="K36" s="76" t="s">
        <v>192</v>
      </c>
      <c r="L36" s="78">
        <v>4.33</v>
      </c>
      <c r="M36" s="97">
        <f t="shared" si="20"/>
        <v>153256.01999999999</v>
      </c>
      <c r="N36" s="64">
        <f t="shared" si="6"/>
        <v>16</v>
      </c>
      <c r="O36" s="63">
        <v>16</v>
      </c>
      <c r="P36" s="65"/>
      <c r="Q36" s="65"/>
      <c r="R36" s="66">
        <f t="shared" si="21"/>
        <v>153256.01999999999</v>
      </c>
      <c r="S36" s="66"/>
      <c r="T36" s="66"/>
      <c r="U36" s="66">
        <f t="shared" si="0"/>
        <v>153256.01999999999</v>
      </c>
      <c r="V36" s="66">
        <f t="shared" si="17"/>
        <v>38314.004999999997</v>
      </c>
      <c r="W36" s="68">
        <v>9</v>
      </c>
      <c r="X36" s="68"/>
      <c r="Y36" s="68"/>
      <c r="Z36" s="75">
        <f>17697/16*W36*40%/2</f>
        <v>1990.9125000000001</v>
      </c>
      <c r="AA36" s="75"/>
      <c r="AB36" s="75"/>
      <c r="AC36" s="66">
        <f t="shared" si="1"/>
        <v>1990.9125000000001</v>
      </c>
      <c r="AD36" s="66">
        <f t="shared" si="24"/>
        <v>16</v>
      </c>
      <c r="AE36" s="66">
        <f t="shared" si="18"/>
        <v>57471.0075</v>
      </c>
      <c r="AF36" s="75"/>
      <c r="AG36" s="69"/>
      <c r="AH36" s="75"/>
      <c r="AI36" s="67"/>
      <c r="AJ36" s="66"/>
      <c r="AK36" s="66"/>
      <c r="AL36" s="66"/>
      <c r="AM36" s="75"/>
      <c r="AN36" s="75"/>
      <c r="AO36" s="75"/>
      <c r="AP36" s="75">
        <v>1</v>
      </c>
      <c r="AQ36" s="75">
        <f t="shared" si="42"/>
        <v>4313</v>
      </c>
      <c r="AR36" s="66">
        <f t="shared" si="19"/>
        <v>19157.002499999999</v>
      </c>
      <c r="AS36" s="73"/>
      <c r="AT36" s="73"/>
      <c r="AU36" s="73"/>
      <c r="AV36" s="73"/>
      <c r="AW36" s="66">
        <f t="shared" si="25"/>
        <v>0</v>
      </c>
      <c r="AX36" s="66"/>
      <c r="AY36" s="66">
        <f t="shared" si="2"/>
        <v>121245.92749999999</v>
      </c>
      <c r="AZ36" s="66">
        <f t="shared" si="3"/>
        <v>274501.94750000001</v>
      </c>
      <c r="BA36" s="66">
        <f t="shared" si="7"/>
        <v>242738.75275000001</v>
      </c>
      <c r="BB36" s="66">
        <f t="shared" si="8"/>
        <v>14564.325165</v>
      </c>
      <c r="BC36" s="66">
        <f t="shared" si="4"/>
        <v>8495.8563462500006</v>
      </c>
      <c r="BD36" s="66">
        <f t="shared" si="5"/>
        <v>7282.1625825000001</v>
      </c>
      <c r="BE36" s="66">
        <f t="shared" si="9"/>
        <v>191570.02499999999</v>
      </c>
      <c r="BF36" s="70">
        <f t="shared" si="10"/>
        <v>221912.36909374999</v>
      </c>
      <c r="BG36" s="70">
        <f t="shared" si="11"/>
        <v>3294.0233699999999</v>
      </c>
      <c r="BH36" s="66">
        <f t="shared" si="12"/>
        <v>174.77190198</v>
      </c>
      <c r="BI36" s="66">
        <f t="shared" si="13"/>
        <v>101.950276155</v>
      </c>
      <c r="BJ36" s="66">
        <f t="shared" si="14"/>
        <v>87.385950989999998</v>
      </c>
      <c r="BK36" s="66">
        <f t="shared" si="15"/>
        <v>191.57002499999999</v>
      </c>
      <c r="BL36" s="70">
        <f t="shared" si="16"/>
        <v>3849.7015241250001</v>
      </c>
    </row>
    <row r="37" spans="2:64" ht="26" x14ac:dyDescent="0.3">
      <c r="B37" s="57">
        <v>21</v>
      </c>
      <c r="C37" s="59" t="s">
        <v>204</v>
      </c>
      <c r="D37" s="18" t="s">
        <v>151</v>
      </c>
      <c r="E37" s="100" t="s">
        <v>205</v>
      </c>
      <c r="F37" s="62">
        <v>1</v>
      </c>
      <c r="G37" s="59" t="s">
        <v>182</v>
      </c>
      <c r="H37" s="71" t="s">
        <v>178</v>
      </c>
      <c r="I37" s="61"/>
      <c r="J37" s="18"/>
      <c r="K37" s="76" t="s">
        <v>179</v>
      </c>
      <c r="L37" s="63">
        <v>3.36</v>
      </c>
      <c r="M37" s="97">
        <f t="shared" si="20"/>
        <v>118923.84</v>
      </c>
      <c r="N37" s="64">
        <f t="shared" si="6"/>
        <v>9</v>
      </c>
      <c r="O37" s="63">
        <v>6</v>
      </c>
      <c r="P37" s="74">
        <v>3</v>
      </c>
      <c r="Q37" s="74"/>
      <c r="R37" s="66">
        <f t="shared" si="21"/>
        <v>44596.44</v>
      </c>
      <c r="S37" s="66">
        <f t="shared" si="22"/>
        <v>22298.22</v>
      </c>
      <c r="T37" s="66">
        <f t="shared" si="23"/>
        <v>0</v>
      </c>
      <c r="U37" s="66">
        <f t="shared" si="0"/>
        <v>66894.66</v>
      </c>
      <c r="V37" s="66">
        <f t="shared" si="17"/>
        <v>16723.665000000001</v>
      </c>
      <c r="W37" s="68"/>
      <c r="X37" s="68"/>
      <c r="Y37" s="68"/>
      <c r="Z37" s="75">
        <f t="shared" ref="Z37" si="43">17697/18*W37*40%</f>
        <v>0</v>
      </c>
      <c r="AA37" s="75">
        <v>0</v>
      </c>
      <c r="AB37" s="75">
        <f t="shared" ref="AB37" si="44">17697/16*Y37*40%/2</f>
        <v>0</v>
      </c>
      <c r="AC37" s="66">
        <f t="shared" si="1"/>
        <v>0</v>
      </c>
      <c r="AD37" s="66">
        <f t="shared" si="24"/>
        <v>9</v>
      </c>
      <c r="AE37" s="66">
        <f t="shared" si="18"/>
        <v>25085.497500000001</v>
      </c>
      <c r="AF37" s="75"/>
      <c r="AG37" s="69"/>
      <c r="AH37" s="75"/>
      <c r="AI37" s="67"/>
      <c r="AJ37" s="66"/>
      <c r="AK37" s="66"/>
      <c r="AL37" s="66"/>
      <c r="AM37" s="75"/>
      <c r="AN37" s="75"/>
      <c r="AO37" s="75"/>
      <c r="AP37" s="75">
        <v>1</v>
      </c>
      <c r="AQ37" s="75">
        <f t="shared" si="42"/>
        <v>4313</v>
      </c>
      <c r="AR37" s="66">
        <f t="shared" si="19"/>
        <v>8361.8325000000023</v>
      </c>
      <c r="AS37" s="73"/>
      <c r="AT37" s="73"/>
      <c r="AU37" s="73"/>
      <c r="AV37" s="73"/>
      <c r="AW37" s="66">
        <f t="shared" si="25"/>
        <v>0</v>
      </c>
      <c r="AX37" s="66"/>
      <c r="AY37" s="66">
        <f t="shared" si="2"/>
        <v>54483.99500000001</v>
      </c>
      <c r="AZ37" s="66">
        <f t="shared" si="3"/>
        <v>121378.65500000001</v>
      </c>
      <c r="BA37" s="66">
        <f t="shared" si="7"/>
        <v>104927.78950000001</v>
      </c>
      <c r="BB37" s="66">
        <f t="shared" si="8"/>
        <v>6295.667370000001</v>
      </c>
      <c r="BC37" s="66">
        <f t="shared" si="4"/>
        <v>3672.4726325000006</v>
      </c>
      <c r="BD37" s="66">
        <f t="shared" si="5"/>
        <v>3147.8336850000005</v>
      </c>
      <c r="BE37" s="66">
        <f t="shared" si="9"/>
        <v>83618.325000000012</v>
      </c>
      <c r="BF37" s="70">
        <f t="shared" si="10"/>
        <v>96734.298687500006</v>
      </c>
      <c r="BG37" s="70">
        <f t="shared" si="11"/>
        <v>1456.54386</v>
      </c>
      <c r="BH37" s="66">
        <f t="shared" si="12"/>
        <v>75.548008440000004</v>
      </c>
      <c r="BI37" s="66">
        <f t="shared" si="13"/>
        <v>44.069671590000006</v>
      </c>
      <c r="BJ37" s="66">
        <f t="shared" si="14"/>
        <v>37.774004220000002</v>
      </c>
      <c r="BK37" s="66">
        <f t="shared" si="15"/>
        <v>83.618325000000013</v>
      </c>
      <c r="BL37" s="70">
        <f t="shared" si="16"/>
        <v>1697.5538692500002</v>
      </c>
    </row>
    <row r="38" spans="2:64" ht="35" x14ac:dyDescent="0.3">
      <c r="B38" s="57">
        <v>22</v>
      </c>
      <c r="C38" s="63" t="s">
        <v>258</v>
      </c>
      <c r="D38" s="18" t="s">
        <v>151</v>
      </c>
      <c r="E38" s="72" t="s">
        <v>269</v>
      </c>
      <c r="F38" s="76">
        <v>11.11</v>
      </c>
      <c r="G38" s="59" t="s">
        <v>241</v>
      </c>
      <c r="H38" s="60" t="s">
        <v>178</v>
      </c>
      <c r="I38" s="61"/>
      <c r="J38" s="18"/>
      <c r="K38" s="76" t="s">
        <v>179</v>
      </c>
      <c r="L38" s="78">
        <v>3.57</v>
      </c>
      <c r="M38" s="97">
        <f>L38*17697*2</f>
        <v>126356.57999999999</v>
      </c>
      <c r="N38" s="64">
        <f>O38+P38+Q38</f>
        <v>6</v>
      </c>
      <c r="O38" s="63"/>
      <c r="P38" s="65">
        <v>6</v>
      </c>
      <c r="Q38" s="65"/>
      <c r="R38" s="66">
        <f>M38/16*O38</f>
        <v>0</v>
      </c>
      <c r="S38" s="66">
        <f>M38/16*P38</f>
        <v>47383.717499999999</v>
      </c>
      <c r="T38" s="66"/>
      <c r="U38" s="66">
        <f>SUM(R38:T38)</f>
        <v>47383.717499999999</v>
      </c>
      <c r="V38" s="66">
        <f>U38*25%</f>
        <v>11845.929375</v>
      </c>
      <c r="W38" s="68"/>
      <c r="X38" s="68"/>
      <c r="Y38" s="68"/>
      <c r="Z38" s="75"/>
      <c r="AA38" s="75"/>
      <c r="AB38" s="75"/>
      <c r="AC38" s="66">
        <f>AB38+AA38+Z38</f>
        <v>0</v>
      </c>
      <c r="AD38" s="66">
        <f>N38</f>
        <v>6</v>
      </c>
      <c r="AE38" s="66">
        <f>(U38+V38)*30%</f>
        <v>17768.8940625</v>
      </c>
      <c r="AF38" s="75"/>
      <c r="AG38" s="69"/>
      <c r="AH38" s="75"/>
      <c r="AI38" s="67"/>
      <c r="AJ38" s="66"/>
      <c r="AK38" s="66"/>
      <c r="AL38" s="66"/>
      <c r="AM38" s="75"/>
      <c r="AN38" s="75"/>
      <c r="AO38" s="75"/>
      <c r="AP38" s="75"/>
      <c r="AQ38" s="75"/>
      <c r="AR38" s="66">
        <f>(U38+V38)*10%</f>
        <v>5922.9646874999999</v>
      </c>
      <c r="AS38" s="73"/>
      <c r="AT38" s="73"/>
      <c r="AU38" s="73"/>
      <c r="AV38" s="73"/>
      <c r="AW38" s="66">
        <f>AS38+AT38+AU38+AV38</f>
        <v>0</v>
      </c>
      <c r="AX38" s="66"/>
      <c r="AY38" s="66">
        <f>V38+AC38+AE38+AF38+AG38+AH38+AI38+AM38+AQ38+AR38+AW38+AX38</f>
        <v>35537.788124999999</v>
      </c>
      <c r="AZ38" s="66">
        <f>AY38+U38</f>
        <v>82921.505624999991</v>
      </c>
      <c r="BA38" s="66">
        <f>(AZ38-AZ38*10%-AQ38)</f>
        <v>74629.355062499992</v>
      </c>
      <c r="BB38" s="66">
        <f>BA38*6%</f>
        <v>4477.7613037499996</v>
      </c>
      <c r="BC38" s="66">
        <f>BA38*3.5%</f>
        <v>2612.0274271875001</v>
      </c>
      <c r="BD38" s="66">
        <f>BA38*3%</f>
        <v>2238.8806518749998</v>
      </c>
      <c r="BE38" s="66">
        <f>U38+V38</f>
        <v>59229.646874999999</v>
      </c>
      <c r="BF38" s="70">
        <f>BB38+BC38+BD38+BE38</f>
        <v>68558.31625781249</v>
      </c>
      <c r="BG38" s="70">
        <f t="shared" si="11"/>
        <v>995.05806749999988</v>
      </c>
      <c r="BH38" s="66">
        <f t="shared" si="12"/>
        <v>53.733135644999997</v>
      </c>
      <c r="BI38" s="66">
        <f t="shared" si="13"/>
        <v>31.344329126249999</v>
      </c>
      <c r="BJ38" s="66">
        <f t="shared" si="14"/>
        <v>26.866567822499999</v>
      </c>
      <c r="BK38" s="66">
        <f t="shared" si="15"/>
        <v>59.229646875</v>
      </c>
      <c r="BL38" s="70">
        <f t="shared" si="16"/>
        <v>1166.2317469687498</v>
      </c>
    </row>
    <row r="39" spans="2:64" ht="23.5" x14ac:dyDescent="0.3">
      <c r="B39" s="57">
        <v>23</v>
      </c>
      <c r="C39" s="59" t="s">
        <v>258</v>
      </c>
      <c r="D39" s="18" t="s">
        <v>151</v>
      </c>
      <c r="E39" s="72" t="s">
        <v>181</v>
      </c>
      <c r="F39" s="62">
        <v>12</v>
      </c>
      <c r="G39" s="59" t="s">
        <v>203</v>
      </c>
      <c r="H39" s="60" t="s">
        <v>178</v>
      </c>
      <c r="I39" s="61"/>
      <c r="J39" s="18"/>
      <c r="K39" s="76" t="s">
        <v>179</v>
      </c>
      <c r="L39" s="63">
        <v>3.57</v>
      </c>
      <c r="M39" s="97">
        <f>L39*17697*2</f>
        <v>126356.57999999999</v>
      </c>
      <c r="N39" s="64">
        <f>O39+P39+Q39</f>
        <v>2</v>
      </c>
      <c r="O39" s="63"/>
      <c r="P39" s="74">
        <v>2</v>
      </c>
      <c r="Q39" s="74"/>
      <c r="R39" s="66"/>
      <c r="S39" s="66">
        <f>M39/16*P39</f>
        <v>15794.572499999998</v>
      </c>
      <c r="T39" s="66"/>
      <c r="U39" s="66">
        <f>SUM(R39:T39)</f>
        <v>15794.572499999998</v>
      </c>
      <c r="V39" s="66">
        <f>U39*25%</f>
        <v>3948.6431249999996</v>
      </c>
      <c r="W39" s="68"/>
      <c r="X39" s="68"/>
      <c r="Y39" s="68"/>
      <c r="Z39" s="75"/>
      <c r="AA39" s="75"/>
      <c r="AB39" s="75"/>
      <c r="AC39" s="66">
        <f>AB39+AA39+Z39</f>
        <v>0</v>
      </c>
      <c r="AD39" s="66">
        <f>N39</f>
        <v>2</v>
      </c>
      <c r="AE39" s="66">
        <f>(U39+V39)*30%</f>
        <v>5922.9646874999989</v>
      </c>
      <c r="AF39" s="75"/>
      <c r="AG39" s="69"/>
      <c r="AH39" s="75"/>
      <c r="AI39" s="67"/>
      <c r="AJ39" s="66"/>
      <c r="AK39" s="66"/>
      <c r="AL39" s="66"/>
      <c r="AM39" s="75"/>
      <c r="AN39" s="75"/>
      <c r="AO39" s="75"/>
      <c r="AP39" s="75"/>
      <c r="AQ39" s="75"/>
      <c r="AR39" s="66">
        <f>(U39+V39)*10%</f>
        <v>1974.3215624999998</v>
      </c>
      <c r="AS39" s="73"/>
      <c r="AT39" s="73"/>
      <c r="AU39" s="73"/>
      <c r="AV39" s="73"/>
      <c r="AW39" s="66">
        <f>AS39+AT39+AU39+AV39</f>
        <v>0</v>
      </c>
      <c r="AX39" s="66"/>
      <c r="AY39" s="66">
        <f>V39+AC39+AE39+AF39+AG39+AH39+AI39+AM39+AQ39+AR39+AW39+AX39</f>
        <v>11845.929374999998</v>
      </c>
      <c r="AZ39" s="66">
        <f>AY39+U39</f>
        <v>27640.501874999994</v>
      </c>
      <c r="BA39" s="66">
        <f>(AZ39-AZ39*10%-AQ39)</f>
        <v>24876.451687499994</v>
      </c>
      <c r="BB39" s="66">
        <f>BA39*6%</f>
        <v>1492.5871012499995</v>
      </c>
      <c r="BC39" s="66">
        <f>BA39*3.5%</f>
        <v>870.67580906249987</v>
      </c>
      <c r="BD39" s="66">
        <f>BA39*3%</f>
        <v>746.29355062499974</v>
      </c>
      <c r="BE39" s="66">
        <f>U39+V39</f>
        <v>19743.215624999997</v>
      </c>
      <c r="BF39" s="70">
        <f>BB39+BC39+BD39+BE39</f>
        <v>22852.772085937497</v>
      </c>
      <c r="BG39" s="70">
        <f t="shared" si="11"/>
        <v>331.68602249999998</v>
      </c>
      <c r="BH39" s="66">
        <f t="shared" si="12"/>
        <v>17.911045214999994</v>
      </c>
      <c r="BI39" s="66">
        <f t="shared" si="13"/>
        <v>10.448109708749998</v>
      </c>
      <c r="BJ39" s="66">
        <f t="shared" si="14"/>
        <v>8.9555226074999972</v>
      </c>
      <c r="BK39" s="66">
        <f t="shared" si="15"/>
        <v>19.743215624999998</v>
      </c>
      <c r="BL39" s="70">
        <f t="shared" si="16"/>
        <v>388.74391565624995</v>
      </c>
    </row>
    <row r="40" spans="2:64" s="83" customFormat="1" ht="13" x14ac:dyDescent="0.3">
      <c r="B40" s="57"/>
      <c r="C40" s="16"/>
      <c r="D40" s="18"/>
      <c r="E40" s="18"/>
      <c r="F40" s="101"/>
      <c r="G40" s="82"/>
      <c r="H40" s="79"/>
      <c r="I40" s="80"/>
      <c r="J40" s="81"/>
      <c r="K40" s="62"/>
      <c r="L40" s="102"/>
      <c r="M40" s="97"/>
      <c r="N40" s="64">
        <f t="shared" si="6"/>
        <v>0</v>
      </c>
      <c r="O40" s="82"/>
      <c r="P40" s="82"/>
      <c r="Q40" s="82"/>
      <c r="R40" s="66"/>
      <c r="S40" s="66"/>
      <c r="T40" s="66"/>
      <c r="U40" s="66"/>
      <c r="V40" s="66"/>
      <c r="W40" s="68"/>
      <c r="X40" s="68"/>
      <c r="Y40" s="68"/>
      <c r="Z40" s="75"/>
      <c r="AA40" s="75"/>
      <c r="AB40" s="75"/>
      <c r="AC40" s="66"/>
      <c r="AD40" s="66"/>
      <c r="AE40" s="66"/>
      <c r="AF40" s="75"/>
      <c r="AG40" s="69"/>
      <c r="AH40" s="75"/>
      <c r="AI40" s="73"/>
      <c r="AJ40" s="66"/>
      <c r="AK40" s="66"/>
      <c r="AL40" s="66"/>
      <c r="AM40" s="75"/>
      <c r="AN40" s="75"/>
      <c r="AO40" s="75"/>
      <c r="AP40" s="75"/>
      <c r="AQ40" s="75"/>
      <c r="AR40" s="66"/>
      <c r="AS40" s="73"/>
      <c r="AT40" s="73"/>
      <c r="AU40" s="73"/>
      <c r="AV40" s="73"/>
      <c r="AW40" s="66"/>
      <c r="AX40" s="66"/>
      <c r="AY40" s="66"/>
      <c r="AZ40" s="66"/>
      <c r="BA40" s="66"/>
      <c r="BB40" s="66"/>
      <c r="BC40" s="66"/>
      <c r="BD40" s="66"/>
      <c r="BE40" s="66"/>
      <c r="BF40" s="70"/>
      <c r="BG40" s="70"/>
      <c r="BH40" s="66"/>
      <c r="BI40" s="66"/>
      <c r="BJ40" s="66"/>
      <c r="BK40" s="66"/>
      <c r="BL40" s="70"/>
    </row>
    <row r="41" spans="2:64" x14ac:dyDescent="0.25">
      <c r="B41" s="18"/>
      <c r="C41" s="84" t="s">
        <v>207</v>
      </c>
      <c r="D41" s="18"/>
      <c r="E41" s="18"/>
      <c r="F41" s="18"/>
      <c r="G41" s="18"/>
      <c r="H41" s="18"/>
      <c r="I41" s="18"/>
      <c r="J41" s="18"/>
      <c r="K41" s="18"/>
      <c r="L41" s="18"/>
      <c r="M41" s="85">
        <f>SUM(M15:M40)</f>
        <v>3775477.9800000004</v>
      </c>
      <c r="N41" s="85">
        <f>SUM(N13:N40)</f>
        <v>284</v>
      </c>
      <c r="O41" s="103">
        <f t="shared" ref="O41:BL41" si="45">SUM(O13:O40)</f>
        <v>81.5</v>
      </c>
      <c r="P41" s="103">
        <f t="shared" si="45"/>
        <v>134.5</v>
      </c>
      <c r="Q41" s="85">
        <f t="shared" si="45"/>
        <v>68</v>
      </c>
      <c r="R41" s="85">
        <f t="shared" si="45"/>
        <v>889064.09812500002</v>
      </c>
      <c r="S41" s="85">
        <f t="shared" si="45"/>
        <v>1229156.1956249999</v>
      </c>
      <c r="T41" s="85">
        <f t="shared" si="45"/>
        <v>658018.70250000001</v>
      </c>
      <c r="U41" s="85">
        <f t="shared" si="45"/>
        <v>2776238.9962499994</v>
      </c>
      <c r="V41" s="85">
        <f t="shared" si="45"/>
        <v>694059.74906249985</v>
      </c>
      <c r="W41" s="85">
        <f t="shared" si="45"/>
        <v>48</v>
      </c>
      <c r="X41" s="85">
        <f t="shared" si="45"/>
        <v>81</v>
      </c>
      <c r="Y41" s="85">
        <f t="shared" si="45"/>
        <v>42</v>
      </c>
      <c r="Z41" s="85">
        <f t="shared" si="45"/>
        <v>10962.308333333334</v>
      </c>
      <c r="AA41" s="85">
        <f t="shared" si="45"/>
        <v>20185.640625</v>
      </c>
      <c r="AB41" s="85">
        <f t="shared" si="45"/>
        <v>9979.1416666666664</v>
      </c>
      <c r="AC41" s="85">
        <f t="shared" si="45"/>
        <v>40574.059374999997</v>
      </c>
      <c r="AD41" s="85">
        <f t="shared" si="45"/>
        <v>284</v>
      </c>
      <c r="AE41" s="85">
        <f t="shared" si="45"/>
        <v>1041089.6235937501</v>
      </c>
      <c r="AF41" s="85">
        <f t="shared" si="45"/>
        <v>35394</v>
      </c>
      <c r="AG41" s="85">
        <f t="shared" si="45"/>
        <v>40702.699999999997</v>
      </c>
      <c r="AH41" s="85">
        <f t="shared" si="45"/>
        <v>3539</v>
      </c>
      <c r="AI41" s="85">
        <f t="shared" si="45"/>
        <v>35394</v>
      </c>
      <c r="AJ41" s="85">
        <f t="shared" si="45"/>
        <v>0</v>
      </c>
      <c r="AK41" s="85">
        <f t="shared" si="45"/>
        <v>0</v>
      </c>
      <c r="AL41" s="85">
        <f t="shared" si="45"/>
        <v>0</v>
      </c>
      <c r="AM41" s="85">
        <f t="shared" si="45"/>
        <v>17697</v>
      </c>
      <c r="AN41" s="85">
        <f t="shared" si="45"/>
        <v>0</v>
      </c>
      <c r="AO41" s="85">
        <f t="shared" si="45"/>
        <v>0</v>
      </c>
      <c r="AP41" s="85">
        <f t="shared" si="45"/>
        <v>16</v>
      </c>
      <c r="AQ41" s="85">
        <f t="shared" si="45"/>
        <v>69008</v>
      </c>
      <c r="AR41" s="85">
        <f t="shared" si="45"/>
        <v>347029.87453124992</v>
      </c>
      <c r="AS41" s="85">
        <f t="shared" si="45"/>
        <v>354559.39500000008</v>
      </c>
      <c r="AT41" s="85">
        <f t="shared" si="45"/>
        <v>0</v>
      </c>
      <c r="AU41" s="85">
        <f t="shared" si="45"/>
        <v>173391.88781249998</v>
      </c>
      <c r="AV41" s="85">
        <f t="shared" si="45"/>
        <v>183999.0271875</v>
      </c>
      <c r="AW41" s="85">
        <f t="shared" si="45"/>
        <v>711950.30999999994</v>
      </c>
      <c r="AX41" s="85">
        <f t="shared" si="45"/>
        <v>17697</v>
      </c>
      <c r="AY41" s="85">
        <f t="shared" si="45"/>
        <v>3054135.3165624994</v>
      </c>
      <c r="AZ41" s="85">
        <f t="shared" si="45"/>
        <v>5830374.3128125006</v>
      </c>
      <c r="BA41" s="85">
        <f t="shared" si="45"/>
        <v>5178328.8815312488</v>
      </c>
      <c r="BB41" s="85">
        <f t="shared" si="45"/>
        <v>310699.73289187497</v>
      </c>
      <c r="BC41" s="85">
        <f t="shared" si="45"/>
        <v>181241.51085359379</v>
      </c>
      <c r="BD41" s="85">
        <f t="shared" si="45"/>
        <v>155349.86644593748</v>
      </c>
      <c r="BE41" s="85">
        <f t="shared" si="45"/>
        <v>3470298.7453124998</v>
      </c>
      <c r="BF41" s="85">
        <f t="shared" si="45"/>
        <v>4117589.8555039065</v>
      </c>
      <c r="BG41" s="85">
        <f t="shared" si="45"/>
        <v>69964.49175375</v>
      </c>
      <c r="BH41" s="85">
        <f t="shared" si="45"/>
        <v>3728.3967947025008</v>
      </c>
      <c r="BI41" s="85">
        <f t="shared" si="45"/>
        <v>2174.8981302431253</v>
      </c>
      <c r="BJ41" s="85">
        <f t="shared" si="45"/>
        <v>1864.1983973512504</v>
      </c>
      <c r="BK41" s="85">
        <f t="shared" si="45"/>
        <v>3470.2987453125002</v>
      </c>
      <c r="BL41" s="85">
        <f t="shared" si="45"/>
        <v>81202.283821359379</v>
      </c>
    </row>
    <row r="42" spans="2:64" ht="13" x14ac:dyDescent="0.3">
      <c r="B42" s="86"/>
      <c r="C42" s="87"/>
      <c r="D42" s="86"/>
      <c r="E42" s="86"/>
      <c r="F42" s="86"/>
      <c r="G42" s="86"/>
      <c r="H42" s="86"/>
      <c r="I42" s="86"/>
      <c r="J42" s="86"/>
      <c r="K42" s="86"/>
      <c r="L42" s="86"/>
      <c r="M42" s="89"/>
      <c r="N42" s="88"/>
      <c r="O42" s="88"/>
      <c r="P42" s="88"/>
      <c r="Q42" s="88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104"/>
      <c r="AQ42" s="104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</row>
    <row r="43" spans="2:64" ht="13" x14ac:dyDescent="0.3">
      <c r="D43" s="44"/>
      <c r="E43" s="45"/>
      <c r="F43" s="45"/>
      <c r="AY43" s="49"/>
      <c r="BF43" s="49"/>
      <c r="BG43" s="49"/>
      <c r="BL43" s="49"/>
    </row>
    <row r="44" spans="2:64" ht="13" x14ac:dyDescent="0.3">
      <c r="D44" s="44" t="s">
        <v>276</v>
      </c>
      <c r="E44" s="45"/>
      <c r="F44" s="45" t="s">
        <v>208</v>
      </c>
    </row>
    <row r="45" spans="2:64" ht="13" x14ac:dyDescent="0.3">
      <c r="D45" s="44" t="s">
        <v>113</v>
      </c>
      <c r="E45" s="45"/>
      <c r="F45" s="45" t="s">
        <v>114</v>
      </c>
      <c r="BF45" s="49"/>
      <c r="BG45" s="49"/>
      <c r="BL45" s="49"/>
    </row>
  </sheetData>
  <mergeCells count="56">
    <mergeCell ref="N9:N12"/>
    <mergeCell ref="O9:O12"/>
    <mergeCell ref="P9:P12"/>
    <mergeCell ref="Q9:Q12"/>
    <mergeCell ref="R9:R12"/>
    <mergeCell ref="T9:T12"/>
    <mergeCell ref="U9:U12"/>
    <mergeCell ref="W11:Y11"/>
    <mergeCell ref="BA8:BA12"/>
    <mergeCell ref="AP8:AQ11"/>
    <mergeCell ref="AR8:AR12"/>
    <mergeCell ref="AS8:AW10"/>
    <mergeCell ref="AX8:AX12"/>
    <mergeCell ref="AY8:AY12"/>
    <mergeCell ref="AZ8:AZ12"/>
    <mergeCell ref="AS11:AS12"/>
    <mergeCell ref="AT11:AT12"/>
    <mergeCell ref="AU11:AU12"/>
    <mergeCell ref="AV11:AV12"/>
    <mergeCell ref="AW11:AW12"/>
    <mergeCell ref="BB8:BB12"/>
    <mergeCell ref="BC8:BC12"/>
    <mergeCell ref="BD8:BD12"/>
    <mergeCell ref="BE8:BE12"/>
    <mergeCell ref="BG8:BL9"/>
    <mergeCell ref="BF8:BF12"/>
    <mergeCell ref="AO8:AO12"/>
    <mergeCell ref="W8:AC10"/>
    <mergeCell ref="AD8:AD12"/>
    <mergeCell ref="AE8:AE12"/>
    <mergeCell ref="AF8:AF12"/>
    <mergeCell ref="AG8:AG12"/>
    <mergeCell ref="AH8:AH12"/>
    <mergeCell ref="Z11:AB11"/>
    <mergeCell ref="AC11:AC12"/>
    <mergeCell ref="AI8:AI12"/>
    <mergeCell ref="AJ8:AK11"/>
    <mergeCell ref="AL8:AL12"/>
    <mergeCell ref="AM8:AM12"/>
    <mergeCell ref="AN8:AN12"/>
    <mergeCell ref="V8:V12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N8:Q8"/>
    <mergeCell ref="R8:U8"/>
    <mergeCell ref="S9:S12"/>
  </mergeCells>
  <pageMargins left="0" right="0" top="0" bottom="0" header="0.31496062992125984" footer="0.31496062992125984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M44"/>
  <sheetViews>
    <sheetView workbookViewId="0">
      <pane xSplit="4" ySplit="12" topLeftCell="AR41" activePane="bottomRight" state="frozen"/>
      <selection pane="topRight" activeCell="E1" sqref="E1"/>
      <selection pane="bottomLeft" activeCell="A9" sqref="A9"/>
      <selection pane="bottomRight" sqref="A1:BM49"/>
    </sheetView>
  </sheetViews>
  <sheetFormatPr defaultColWidth="9" defaultRowHeight="11.5" x14ac:dyDescent="0.25"/>
  <cols>
    <col min="1" max="1" width="7.26953125" style="7" customWidth="1"/>
    <col min="2" max="2" width="3.81640625" style="7" customWidth="1"/>
    <col min="3" max="3" width="20.1796875" style="7" customWidth="1"/>
    <col min="4" max="4" width="6.54296875" style="7" customWidth="1"/>
    <col min="5" max="5" width="25.7265625" style="7" customWidth="1"/>
    <col min="6" max="6" width="6" style="7" customWidth="1"/>
    <col min="7" max="7" width="15.54296875" style="7" customWidth="1"/>
    <col min="8" max="8" width="20" style="7" customWidth="1"/>
    <col min="9" max="9" width="5.26953125" style="7" customWidth="1"/>
    <col min="10" max="10" width="7.7265625" style="7" customWidth="1"/>
    <col min="11" max="11" width="6.453125" style="7" customWidth="1"/>
    <col min="12" max="12" width="5.81640625" style="7" customWidth="1"/>
    <col min="13" max="13" width="8.7265625" style="7" customWidth="1"/>
    <col min="14" max="14" width="6.7265625" style="7" customWidth="1"/>
    <col min="15" max="15" width="5.1796875" style="7" customWidth="1"/>
    <col min="16" max="16" width="4.81640625" style="7" customWidth="1"/>
    <col min="17" max="17" width="4.7265625" style="7" customWidth="1"/>
    <col min="18" max="18" width="7.453125" style="7" customWidth="1"/>
    <col min="19" max="19" width="7.1796875" style="7" customWidth="1"/>
    <col min="20" max="20" width="6.54296875" style="7" customWidth="1"/>
    <col min="21" max="21" width="8.26953125" style="7" customWidth="1"/>
    <col min="22" max="22" width="6.26953125" style="7" customWidth="1"/>
    <col min="23" max="23" width="3.7265625" style="7" customWidth="1"/>
    <col min="24" max="24" width="2.7265625" style="7" customWidth="1"/>
    <col min="25" max="25" width="2.81640625" style="7" customWidth="1"/>
    <col min="26" max="27" width="5.7265625" style="7" customWidth="1"/>
    <col min="28" max="28" width="4.7265625" style="7" customWidth="1"/>
    <col min="29" max="29" width="5.26953125" style="7" customWidth="1"/>
    <col min="30" max="30" width="4.26953125" style="7" customWidth="1"/>
    <col min="31" max="31" width="7.26953125" style="7" customWidth="1"/>
    <col min="32" max="32" width="6.453125" style="7" customWidth="1"/>
    <col min="33" max="33" width="5.81640625" style="7" customWidth="1"/>
    <col min="34" max="34" width="5.54296875" style="7" customWidth="1"/>
    <col min="35" max="35" width="6" style="7" customWidth="1"/>
    <col min="36" max="36" width="2.7265625" style="7" customWidth="1"/>
    <col min="37" max="37" width="4.1796875" style="7" customWidth="1"/>
    <col min="38" max="38" width="4.453125" style="7" customWidth="1"/>
    <col min="39" max="39" width="5.453125" style="7" customWidth="1"/>
    <col min="40" max="40" width="4.81640625" style="7" customWidth="1"/>
    <col min="41" max="41" width="3.81640625" style="7" customWidth="1"/>
    <col min="42" max="42" width="4.1796875" style="7" customWidth="1"/>
    <col min="43" max="43" width="5.54296875" style="7" customWidth="1"/>
    <col min="44" max="45" width="6.453125" style="7" customWidth="1"/>
    <col min="46" max="46" width="3.54296875" style="7" customWidth="1"/>
    <col min="47" max="49" width="6.453125" style="7" customWidth="1"/>
    <col min="50" max="50" width="5.81640625" style="7" customWidth="1"/>
    <col min="51" max="52" width="7.7265625" style="7" customWidth="1"/>
    <col min="53" max="53" width="7.54296875" style="7" customWidth="1"/>
    <col min="54" max="54" width="6.7265625" style="7" customWidth="1"/>
    <col min="55" max="55" width="6.26953125" style="7" customWidth="1"/>
    <col min="56" max="56" width="6.453125" style="7" customWidth="1"/>
    <col min="57" max="57" width="7.1796875" style="7" customWidth="1"/>
    <col min="58" max="58" width="7" style="7" customWidth="1"/>
    <col min="59" max="59" width="5.26953125" style="7" customWidth="1"/>
    <col min="60" max="60" width="4.81640625" style="7" customWidth="1"/>
    <col min="61" max="61" width="4.26953125" style="7" customWidth="1"/>
    <col min="62" max="62" width="4.81640625" style="7" customWidth="1"/>
    <col min="63" max="63" width="5.7265625" style="7" customWidth="1"/>
    <col min="64" max="64" width="5" style="7" customWidth="1"/>
    <col min="65" max="16384" width="9" style="7"/>
  </cols>
  <sheetData>
    <row r="3" spans="2:65" ht="13" x14ac:dyDescent="0.3">
      <c r="C3" s="46" t="s">
        <v>278</v>
      </c>
      <c r="D3" s="47"/>
      <c r="E3" s="9"/>
      <c r="AW3" s="7" t="s">
        <v>279</v>
      </c>
      <c r="BB3" s="130"/>
      <c r="BC3" s="130"/>
      <c r="BD3" s="130"/>
      <c r="BE3" s="130"/>
    </row>
    <row r="4" spans="2:65" ht="13" x14ac:dyDescent="0.3">
      <c r="C4" s="46" t="s">
        <v>1</v>
      </c>
      <c r="D4" s="47"/>
      <c r="E4" s="9"/>
      <c r="AW4" s="7" t="s">
        <v>280</v>
      </c>
    </row>
    <row r="5" spans="2:65" ht="13" x14ac:dyDescent="0.3">
      <c r="C5" s="46"/>
      <c r="D5" s="47"/>
      <c r="E5" s="9"/>
    </row>
    <row r="6" spans="2:65" ht="13" x14ac:dyDescent="0.3">
      <c r="F6" s="48" t="s">
        <v>270</v>
      </c>
      <c r="AJ6" s="49"/>
    </row>
    <row r="7" spans="2:65" x14ac:dyDescent="0.25">
      <c r="F7" s="48"/>
      <c r="AJ7" s="49"/>
    </row>
    <row r="8" spans="2:65" s="51" customFormat="1" ht="11.5" customHeight="1" x14ac:dyDescent="0.35">
      <c r="B8" s="181" t="s">
        <v>2</v>
      </c>
      <c r="C8" s="181" t="s">
        <v>3</v>
      </c>
      <c r="D8" s="161" t="s">
        <v>4</v>
      </c>
      <c r="E8" s="152" t="s">
        <v>116</v>
      </c>
      <c r="F8" s="152" t="s">
        <v>117</v>
      </c>
      <c r="G8" s="152" t="s">
        <v>118</v>
      </c>
      <c r="H8" s="152" t="s">
        <v>119</v>
      </c>
      <c r="I8" s="152" t="s">
        <v>120</v>
      </c>
      <c r="J8" s="152" t="s">
        <v>121</v>
      </c>
      <c r="K8" s="182" t="s">
        <v>8</v>
      </c>
      <c r="L8" s="182" t="s">
        <v>9</v>
      </c>
      <c r="M8" s="182" t="s">
        <v>122</v>
      </c>
      <c r="N8" s="154" t="s">
        <v>123</v>
      </c>
      <c r="O8" s="154"/>
      <c r="P8" s="154"/>
      <c r="Q8" s="154"/>
      <c r="R8" s="183" t="s">
        <v>124</v>
      </c>
      <c r="S8" s="184"/>
      <c r="T8" s="184"/>
      <c r="U8" s="185"/>
      <c r="V8" s="154" t="s">
        <v>125</v>
      </c>
      <c r="W8" s="154" t="s">
        <v>126</v>
      </c>
      <c r="X8" s="154"/>
      <c r="Y8" s="154"/>
      <c r="Z8" s="154"/>
      <c r="AA8" s="154"/>
      <c r="AB8" s="154"/>
      <c r="AC8" s="154"/>
      <c r="AD8" s="154" t="s">
        <v>127</v>
      </c>
      <c r="AE8" s="154" t="s">
        <v>128</v>
      </c>
      <c r="AF8" s="154" t="s">
        <v>129</v>
      </c>
      <c r="AG8" s="154" t="s">
        <v>130</v>
      </c>
      <c r="AH8" s="154" t="s">
        <v>13</v>
      </c>
      <c r="AI8" s="154" t="s">
        <v>277</v>
      </c>
      <c r="AJ8" s="149" t="s">
        <v>131</v>
      </c>
      <c r="AK8" s="151"/>
      <c r="AL8" s="154" t="s">
        <v>132</v>
      </c>
      <c r="AM8" s="152" t="s">
        <v>60</v>
      </c>
      <c r="AN8" s="154" t="s">
        <v>133</v>
      </c>
      <c r="AO8" s="154" t="s">
        <v>20</v>
      </c>
      <c r="AP8" s="154" t="s">
        <v>25</v>
      </c>
      <c r="AQ8" s="154"/>
      <c r="AR8" s="154" t="s">
        <v>134</v>
      </c>
      <c r="AS8" s="149" t="s">
        <v>135</v>
      </c>
      <c r="AT8" s="150"/>
      <c r="AU8" s="150"/>
      <c r="AV8" s="150"/>
      <c r="AW8" s="151"/>
      <c r="AX8" s="152" t="s">
        <v>136</v>
      </c>
      <c r="AY8" s="154" t="s">
        <v>137</v>
      </c>
      <c r="AZ8" s="154" t="s">
        <v>138</v>
      </c>
      <c r="BA8" s="181"/>
      <c r="BB8" s="161">
        <v>121</v>
      </c>
      <c r="BC8" s="161">
        <v>122</v>
      </c>
      <c r="BD8" s="161">
        <v>124</v>
      </c>
      <c r="BE8" s="161">
        <v>113</v>
      </c>
      <c r="BF8" s="152" t="s">
        <v>33</v>
      </c>
      <c r="BG8" s="149" t="s">
        <v>32</v>
      </c>
      <c r="BH8" s="150"/>
      <c r="BI8" s="150"/>
      <c r="BJ8" s="150"/>
      <c r="BK8" s="150"/>
      <c r="BL8" s="151"/>
      <c r="BM8" s="50"/>
    </row>
    <row r="9" spans="2:65" s="51" customFormat="1" ht="30" customHeight="1" x14ac:dyDescent="0.35">
      <c r="B9" s="181"/>
      <c r="C9" s="181"/>
      <c r="D9" s="162"/>
      <c r="E9" s="155"/>
      <c r="F9" s="155"/>
      <c r="G9" s="155"/>
      <c r="H9" s="155"/>
      <c r="I9" s="155"/>
      <c r="J9" s="155"/>
      <c r="K9" s="182"/>
      <c r="L9" s="182"/>
      <c r="M9" s="182"/>
      <c r="N9" s="193" t="s">
        <v>110</v>
      </c>
      <c r="O9" s="193" t="s">
        <v>139</v>
      </c>
      <c r="P9" s="193" t="s">
        <v>140</v>
      </c>
      <c r="Q9" s="193" t="s">
        <v>141</v>
      </c>
      <c r="R9" s="189" t="s">
        <v>139</v>
      </c>
      <c r="S9" s="189" t="s">
        <v>140</v>
      </c>
      <c r="T9" s="189" t="s">
        <v>141</v>
      </c>
      <c r="U9" s="161" t="s">
        <v>33</v>
      </c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86"/>
      <c r="AK9" s="187"/>
      <c r="AL9" s="154"/>
      <c r="AM9" s="155"/>
      <c r="AN9" s="154"/>
      <c r="AO9" s="154"/>
      <c r="AP9" s="154"/>
      <c r="AQ9" s="154"/>
      <c r="AR9" s="154"/>
      <c r="AS9" s="186"/>
      <c r="AT9" s="192"/>
      <c r="AU9" s="192"/>
      <c r="AV9" s="192"/>
      <c r="AW9" s="187"/>
      <c r="AX9" s="155"/>
      <c r="AY9" s="154"/>
      <c r="AZ9" s="154"/>
      <c r="BA9" s="181"/>
      <c r="BB9" s="162"/>
      <c r="BC9" s="162"/>
      <c r="BD9" s="162"/>
      <c r="BE9" s="162"/>
      <c r="BF9" s="155"/>
      <c r="BG9" s="156"/>
      <c r="BH9" s="188"/>
      <c r="BI9" s="188"/>
      <c r="BJ9" s="188"/>
      <c r="BK9" s="188"/>
      <c r="BL9" s="157"/>
    </row>
    <row r="10" spans="2:65" s="51" customFormat="1" x14ac:dyDescent="0.35">
      <c r="B10" s="181"/>
      <c r="C10" s="181"/>
      <c r="D10" s="162"/>
      <c r="E10" s="155"/>
      <c r="F10" s="155"/>
      <c r="G10" s="155"/>
      <c r="H10" s="155"/>
      <c r="I10" s="155"/>
      <c r="J10" s="155"/>
      <c r="K10" s="182"/>
      <c r="L10" s="182"/>
      <c r="M10" s="182"/>
      <c r="N10" s="193"/>
      <c r="O10" s="193"/>
      <c r="P10" s="193"/>
      <c r="Q10" s="193"/>
      <c r="R10" s="190"/>
      <c r="S10" s="190"/>
      <c r="T10" s="190"/>
      <c r="U10" s="162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86"/>
      <c r="AK10" s="187"/>
      <c r="AL10" s="154"/>
      <c r="AM10" s="155"/>
      <c r="AN10" s="154"/>
      <c r="AO10" s="154"/>
      <c r="AP10" s="154"/>
      <c r="AQ10" s="154"/>
      <c r="AR10" s="154"/>
      <c r="AS10" s="156"/>
      <c r="AT10" s="188"/>
      <c r="AU10" s="188"/>
      <c r="AV10" s="188"/>
      <c r="AW10" s="157"/>
      <c r="AX10" s="155"/>
      <c r="AY10" s="154"/>
      <c r="AZ10" s="154"/>
      <c r="BA10" s="181"/>
      <c r="BB10" s="162"/>
      <c r="BC10" s="162"/>
      <c r="BD10" s="162"/>
      <c r="BE10" s="162"/>
      <c r="BF10" s="155"/>
      <c r="BG10" s="129"/>
      <c r="BH10" s="52"/>
      <c r="BI10" s="52"/>
      <c r="BJ10" s="52"/>
      <c r="BK10" s="52"/>
      <c r="BL10" s="53"/>
    </row>
    <row r="11" spans="2:65" s="51" customFormat="1" ht="18.75" customHeight="1" x14ac:dyDescent="0.35">
      <c r="B11" s="181"/>
      <c r="C11" s="181"/>
      <c r="D11" s="162"/>
      <c r="E11" s="155"/>
      <c r="F11" s="155"/>
      <c r="G11" s="155"/>
      <c r="H11" s="155"/>
      <c r="I11" s="155"/>
      <c r="J11" s="155"/>
      <c r="K11" s="182"/>
      <c r="L11" s="182"/>
      <c r="M11" s="182"/>
      <c r="N11" s="193"/>
      <c r="O11" s="193"/>
      <c r="P11" s="193"/>
      <c r="Q11" s="193"/>
      <c r="R11" s="190"/>
      <c r="S11" s="190"/>
      <c r="T11" s="190"/>
      <c r="U11" s="162"/>
      <c r="V11" s="154"/>
      <c r="W11" s="181" t="s">
        <v>142</v>
      </c>
      <c r="X11" s="181"/>
      <c r="Y11" s="181"/>
      <c r="Z11" s="181" t="s">
        <v>143</v>
      </c>
      <c r="AA11" s="181"/>
      <c r="AB11" s="181"/>
      <c r="AC11" s="181" t="s">
        <v>33</v>
      </c>
      <c r="AD11" s="154"/>
      <c r="AE11" s="154"/>
      <c r="AF11" s="154"/>
      <c r="AG11" s="154"/>
      <c r="AH11" s="154"/>
      <c r="AI11" s="154"/>
      <c r="AJ11" s="186"/>
      <c r="AK11" s="187"/>
      <c r="AL11" s="154"/>
      <c r="AM11" s="155"/>
      <c r="AN11" s="154"/>
      <c r="AO11" s="154"/>
      <c r="AP11" s="154"/>
      <c r="AQ11" s="154"/>
      <c r="AR11" s="154"/>
      <c r="AS11" s="152" t="s">
        <v>144</v>
      </c>
      <c r="AT11" s="152" t="s">
        <v>145</v>
      </c>
      <c r="AU11" s="152" t="s">
        <v>146</v>
      </c>
      <c r="AV11" s="152" t="s">
        <v>147</v>
      </c>
      <c r="AW11" s="161" t="s">
        <v>33</v>
      </c>
      <c r="AX11" s="155"/>
      <c r="AY11" s="154"/>
      <c r="AZ11" s="154"/>
      <c r="BA11" s="181"/>
      <c r="BB11" s="162"/>
      <c r="BC11" s="162"/>
      <c r="BD11" s="162"/>
      <c r="BE11" s="162"/>
      <c r="BF11" s="155"/>
      <c r="BG11" s="129"/>
      <c r="BH11" s="52"/>
      <c r="BI11" s="52"/>
      <c r="BJ11" s="52"/>
      <c r="BK11" s="52"/>
      <c r="BL11" s="53"/>
    </row>
    <row r="12" spans="2:65" s="51" customFormat="1" ht="69" x14ac:dyDescent="0.35">
      <c r="B12" s="181"/>
      <c r="C12" s="181"/>
      <c r="D12" s="163"/>
      <c r="E12" s="153"/>
      <c r="F12" s="153"/>
      <c r="G12" s="153"/>
      <c r="H12" s="153"/>
      <c r="I12" s="153"/>
      <c r="J12" s="153"/>
      <c r="K12" s="182"/>
      <c r="L12" s="182"/>
      <c r="M12" s="182"/>
      <c r="N12" s="193"/>
      <c r="O12" s="193"/>
      <c r="P12" s="193"/>
      <c r="Q12" s="193"/>
      <c r="R12" s="191"/>
      <c r="S12" s="191"/>
      <c r="T12" s="191"/>
      <c r="U12" s="163"/>
      <c r="V12" s="154"/>
      <c r="W12" s="96" t="s">
        <v>139</v>
      </c>
      <c r="X12" s="96" t="s">
        <v>140</v>
      </c>
      <c r="Y12" s="96" t="s">
        <v>141</v>
      </c>
      <c r="Z12" s="96" t="s">
        <v>139</v>
      </c>
      <c r="AA12" s="96" t="s">
        <v>140</v>
      </c>
      <c r="AB12" s="96" t="s">
        <v>141</v>
      </c>
      <c r="AC12" s="181"/>
      <c r="AD12" s="154"/>
      <c r="AE12" s="154"/>
      <c r="AF12" s="154"/>
      <c r="AG12" s="154"/>
      <c r="AH12" s="154"/>
      <c r="AI12" s="154"/>
      <c r="AJ12" s="95" t="s">
        <v>148</v>
      </c>
      <c r="AK12" s="54" t="s">
        <v>149</v>
      </c>
      <c r="AL12" s="154"/>
      <c r="AM12" s="153"/>
      <c r="AN12" s="154"/>
      <c r="AO12" s="154"/>
      <c r="AP12" s="95" t="s">
        <v>34</v>
      </c>
      <c r="AQ12" s="95" t="s">
        <v>149</v>
      </c>
      <c r="AR12" s="154"/>
      <c r="AS12" s="153"/>
      <c r="AT12" s="153"/>
      <c r="AU12" s="153"/>
      <c r="AV12" s="153"/>
      <c r="AW12" s="163"/>
      <c r="AX12" s="153"/>
      <c r="AY12" s="154"/>
      <c r="AZ12" s="154"/>
      <c r="BA12" s="181"/>
      <c r="BB12" s="163"/>
      <c r="BC12" s="163"/>
      <c r="BD12" s="163"/>
      <c r="BE12" s="163"/>
      <c r="BF12" s="153"/>
      <c r="BG12" s="128">
        <v>111</v>
      </c>
      <c r="BH12" s="55">
        <v>121</v>
      </c>
      <c r="BI12" s="55">
        <v>122</v>
      </c>
      <c r="BJ12" s="55">
        <v>124</v>
      </c>
      <c r="BK12" s="55">
        <v>113</v>
      </c>
      <c r="BL12" s="56" t="s">
        <v>33</v>
      </c>
    </row>
    <row r="13" spans="2:65" ht="27" customHeight="1" x14ac:dyDescent="0.3">
      <c r="B13" s="57">
        <v>1</v>
      </c>
      <c r="C13" s="58" t="s">
        <v>162</v>
      </c>
      <c r="D13" s="18" t="s">
        <v>151</v>
      </c>
      <c r="E13" s="72" t="s">
        <v>163</v>
      </c>
      <c r="F13" s="105">
        <v>17.7</v>
      </c>
      <c r="G13" s="59" t="s">
        <v>164</v>
      </c>
      <c r="H13" s="60" t="s">
        <v>165</v>
      </c>
      <c r="I13" s="61"/>
      <c r="J13" s="18"/>
      <c r="K13" s="62" t="s">
        <v>166</v>
      </c>
      <c r="L13" s="63">
        <v>5.03</v>
      </c>
      <c r="M13" s="97">
        <f>L13*17697*2</f>
        <v>178031.82</v>
      </c>
      <c r="N13" s="64">
        <f>O13+P13+Q13</f>
        <v>10</v>
      </c>
      <c r="O13" s="63"/>
      <c r="P13" s="65">
        <v>6</v>
      </c>
      <c r="Q13" s="65">
        <v>4</v>
      </c>
      <c r="R13" s="66">
        <f>M13/16*O13</f>
        <v>0</v>
      </c>
      <c r="S13" s="66">
        <f>M13/16*P13</f>
        <v>66761.932499999995</v>
      </c>
      <c r="T13" s="66">
        <f>M13/16*Q13</f>
        <v>44507.955000000002</v>
      </c>
      <c r="U13" s="66">
        <f t="shared" ref="U13:U37" si="0">SUM(R13:T13)</f>
        <v>111269.8875</v>
      </c>
      <c r="V13" s="66">
        <f>U13*25%</f>
        <v>27817.471874999999</v>
      </c>
      <c r="W13" s="68"/>
      <c r="X13" s="106">
        <v>6</v>
      </c>
      <c r="Y13" s="68">
        <v>4</v>
      </c>
      <c r="Z13" s="75">
        <f>17697/18*W13*40%/2</f>
        <v>0</v>
      </c>
      <c r="AA13" s="75">
        <f>17697/16*X13*40%/2</f>
        <v>1327.2750000000001</v>
      </c>
      <c r="AB13" s="75">
        <f>17697/16*Y13*40%/2</f>
        <v>884.85</v>
      </c>
      <c r="AC13" s="66">
        <f t="shared" ref="AC13:AC37" si="1">AB13+AA13+Z13</f>
        <v>2212.125</v>
      </c>
      <c r="AD13" s="66">
        <f>N13</f>
        <v>10</v>
      </c>
      <c r="AE13" s="66">
        <f>(U13+V13)*30%</f>
        <v>41726.207812499997</v>
      </c>
      <c r="AF13" s="75"/>
      <c r="AG13" s="69"/>
      <c r="AH13" s="75">
        <v>3539</v>
      </c>
      <c r="AI13" s="73"/>
      <c r="AJ13" s="66"/>
      <c r="AK13" s="66"/>
      <c r="AL13" s="66"/>
      <c r="AM13" s="75"/>
      <c r="AN13" s="75"/>
      <c r="AO13" s="75"/>
      <c r="AP13" s="75"/>
      <c r="AQ13" s="75">
        <f>4313*AP13</f>
        <v>0</v>
      </c>
      <c r="AR13" s="66">
        <f>(U13+V13)*10%</f>
        <v>13908.735937500001</v>
      </c>
      <c r="AS13" s="73"/>
      <c r="AT13" s="73"/>
      <c r="AU13" s="73"/>
      <c r="AV13" s="73">
        <f>(U13+V13)*35%</f>
        <v>48680.575781249994</v>
      </c>
      <c r="AW13" s="66">
        <f>AS13+AT13+AU13+AV13</f>
        <v>48680.575781249994</v>
      </c>
      <c r="AX13" s="66"/>
      <c r="AY13" s="66">
        <f t="shared" ref="AY13:AY37" si="2">V13+AC13+AE13+AF13+AG13+AH13+AI13+AM13+AQ13+AR13+AW13+AX13</f>
        <v>137884.11640624999</v>
      </c>
      <c r="AZ13" s="66">
        <f t="shared" ref="AZ13:AZ37" si="3">AY13+U13</f>
        <v>249154.00390625</v>
      </c>
      <c r="BA13" s="66">
        <f>(AZ13-AZ13*10%-AQ13)</f>
        <v>224238.603515625</v>
      </c>
      <c r="BB13" s="66">
        <f t="shared" ref="BB13" si="4">BA13*6%</f>
        <v>13454.316210937499</v>
      </c>
      <c r="BC13" s="66">
        <f t="shared" ref="BC13" si="5">BA13*3.5%</f>
        <v>7848.3511230468757</v>
      </c>
      <c r="BD13" s="66">
        <f t="shared" ref="BD13" si="6">BA13*3%</f>
        <v>6727.1581054687495</v>
      </c>
      <c r="BE13" s="66">
        <f>U13+V13</f>
        <v>139087.359375</v>
      </c>
      <c r="BF13" s="70">
        <f>BB13+BC13+BD13+BE13</f>
        <v>167117.18481445313</v>
      </c>
      <c r="BG13" s="70">
        <f>AZ13*12/1000</f>
        <v>2989.8480468749999</v>
      </c>
      <c r="BH13" s="66">
        <f>BB13*12/1000</f>
        <v>161.45179453124999</v>
      </c>
      <c r="BI13" s="66">
        <f>BC13*12/1000</f>
        <v>94.180213476562514</v>
      </c>
      <c r="BJ13" s="66">
        <f>BD13*12/1000</f>
        <v>80.725897265624994</v>
      </c>
      <c r="BK13" s="66">
        <f>BE13/1000</f>
        <v>139.08735937500001</v>
      </c>
      <c r="BL13" s="70">
        <f>BG13+BH13+BI13+BJ13+BK13</f>
        <v>3465.2933115234373</v>
      </c>
    </row>
    <row r="14" spans="2:65" ht="28.5" customHeight="1" x14ac:dyDescent="0.3">
      <c r="B14" s="57"/>
      <c r="C14" s="58" t="s">
        <v>162</v>
      </c>
      <c r="D14" s="18" t="s">
        <v>151</v>
      </c>
      <c r="E14" s="72" t="s">
        <v>163</v>
      </c>
      <c r="F14" s="62">
        <v>17.7</v>
      </c>
      <c r="G14" s="59" t="s">
        <v>167</v>
      </c>
      <c r="H14" s="60" t="s">
        <v>165</v>
      </c>
      <c r="I14" s="61"/>
      <c r="J14" s="18"/>
      <c r="K14" s="62" t="s">
        <v>166</v>
      </c>
      <c r="L14" s="63">
        <v>5.03</v>
      </c>
      <c r="M14" s="97">
        <f>L14*17697*2</f>
        <v>178031.82</v>
      </c>
      <c r="N14" s="64">
        <f t="shared" ref="N14:N39" si="7">O14+P14+Q14</f>
        <v>9</v>
      </c>
      <c r="O14" s="63">
        <v>2.5</v>
      </c>
      <c r="P14" s="74">
        <v>4.5</v>
      </c>
      <c r="Q14" s="74">
        <v>2</v>
      </c>
      <c r="R14" s="66">
        <f>M14/16*O14</f>
        <v>27817.471875000003</v>
      </c>
      <c r="S14" s="66">
        <f>M14/16*P14</f>
        <v>50071.449375000004</v>
      </c>
      <c r="T14" s="66">
        <f>M14/16*Q14</f>
        <v>22253.977500000001</v>
      </c>
      <c r="U14" s="66">
        <f t="shared" si="0"/>
        <v>100142.89875000002</v>
      </c>
      <c r="V14" s="66">
        <f>U14*25%</f>
        <v>25035.724687500006</v>
      </c>
      <c r="W14" s="68"/>
      <c r="X14" s="68"/>
      <c r="Y14" s="68"/>
      <c r="Z14" s="75">
        <f>17697/18*W14*40%/2</f>
        <v>0</v>
      </c>
      <c r="AA14" s="75">
        <f>17697/18*X14*40%</f>
        <v>0</v>
      </c>
      <c r="AB14" s="75">
        <f>17697/16*Y14*40%/2</f>
        <v>0</v>
      </c>
      <c r="AC14" s="66">
        <f t="shared" si="1"/>
        <v>0</v>
      </c>
      <c r="AD14" s="66">
        <f>N14</f>
        <v>9</v>
      </c>
      <c r="AE14" s="66">
        <f>(U14+V14)*30%</f>
        <v>37553.587031250012</v>
      </c>
      <c r="AF14" s="75"/>
      <c r="AG14" s="69"/>
      <c r="AH14" s="75"/>
      <c r="AI14" s="73">
        <f>17697*2</f>
        <v>35394</v>
      </c>
      <c r="AJ14" s="66"/>
      <c r="AK14" s="66"/>
      <c r="AL14" s="66"/>
      <c r="AM14" s="75"/>
      <c r="AN14" s="75"/>
      <c r="AO14" s="75"/>
      <c r="AP14" s="75"/>
      <c r="AQ14" s="75">
        <f>3975*AP14</f>
        <v>0</v>
      </c>
      <c r="AR14" s="66">
        <f>(U14+V14)*10%</f>
        <v>12517.862343750005</v>
      </c>
      <c r="AS14" s="73"/>
      <c r="AT14" s="73"/>
      <c r="AU14" s="73"/>
      <c r="AV14" s="73">
        <f>(U14+V14)*35%</f>
        <v>43812.518203125008</v>
      </c>
      <c r="AW14" s="66">
        <f>AS14+AT14+AU14+AV14</f>
        <v>43812.518203125008</v>
      </c>
      <c r="AX14" s="66"/>
      <c r="AY14" s="66">
        <f t="shared" si="2"/>
        <v>154313.69226562502</v>
      </c>
      <c r="AZ14" s="66">
        <f t="shared" si="3"/>
        <v>254456.59101562505</v>
      </c>
      <c r="BA14" s="66">
        <f t="shared" ref="BA14:BA37" si="8">(AZ14-AZ14*10%-AQ14)</f>
        <v>229010.93191406253</v>
      </c>
      <c r="BB14" s="66">
        <f t="shared" ref="BB14:BB37" si="9">BA14*6%</f>
        <v>13740.655914843752</v>
      </c>
      <c r="BC14" s="66">
        <f t="shared" ref="BC14:BC37" si="10">BA14*3.5%</f>
        <v>8015.3826169921895</v>
      </c>
      <c r="BD14" s="66">
        <f t="shared" ref="BD14:BD37" si="11">BA14*3%</f>
        <v>6870.3279574218759</v>
      </c>
      <c r="BE14" s="66">
        <f t="shared" ref="BE14:BE37" si="12">U14+V14</f>
        <v>125178.62343750003</v>
      </c>
      <c r="BF14" s="70">
        <f t="shared" ref="BF14:BF37" si="13">BB14+BC14+BD14+BE14</f>
        <v>153804.98992675784</v>
      </c>
      <c r="BG14" s="70">
        <f t="shared" ref="BG14:BG37" si="14">AZ14*12/1000</f>
        <v>3053.4790921875006</v>
      </c>
      <c r="BH14" s="66">
        <f t="shared" ref="BH14:BH37" si="15">BB14*12/1000</f>
        <v>164.88787097812502</v>
      </c>
      <c r="BI14" s="66">
        <f t="shared" ref="BI14:BI37" si="16">BC14*12/1000</f>
        <v>96.184591403906282</v>
      </c>
      <c r="BJ14" s="66">
        <f t="shared" ref="BJ14:BJ37" si="17">BD14*12/1000</f>
        <v>82.443935489062511</v>
      </c>
      <c r="BK14" s="66">
        <f t="shared" ref="BK14:BK37" si="18">BE14/1000</f>
        <v>125.17862343750004</v>
      </c>
      <c r="BL14" s="70">
        <f t="shared" ref="BL14:BL37" si="19">BG14+BH14+BI14+BJ14+BK14</f>
        <v>3522.1741134960944</v>
      </c>
    </row>
    <row r="15" spans="2:65" ht="26" x14ac:dyDescent="0.3">
      <c r="B15" s="57">
        <v>2</v>
      </c>
      <c r="C15" s="58" t="s">
        <v>150</v>
      </c>
      <c r="D15" s="18" t="s">
        <v>151</v>
      </c>
      <c r="E15" s="72" t="s">
        <v>152</v>
      </c>
      <c r="F15" s="107">
        <v>25.5</v>
      </c>
      <c r="G15" s="59" t="s">
        <v>153</v>
      </c>
      <c r="H15" s="108" t="s">
        <v>242</v>
      </c>
      <c r="I15" s="61"/>
      <c r="J15" s="18"/>
      <c r="K15" s="62" t="s">
        <v>154</v>
      </c>
      <c r="L15" s="63">
        <v>5.41</v>
      </c>
      <c r="M15" s="97">
        <f>L15*17697*2</f>
        <v>191481.54</v>
      </c>
      <c r="N15" s="64">
        <f t="shared" si="7"/>
        <v>8</v>
      </c>
      <c r="O15" s="63"/>
      <c r="P15" s="65">
        <v>8</v>
      </c>
      <c r="Q15" s="65"/>
      <c r="R15" s="66">
        <f>M15/16*O15</f>
        <v>0</v>
      </c>
      <c r="S15" s="66">
        <f>M15/16*P15</f>
        <v>95740.77</v>
      </c>
      <c r="T15" s="66">
        <f>M15/16*Q15</f>
        <v>0</v>
      </c>
      <c r="U15" s="66">
        <f t="shared" si="0"/>
        <v>95740.77</v>
      </c>
      <c r="V15" s="66">
        <f t="shared" ref="V15:V37" si="20">U15*25%</f>
        <v>23935.192500000001</v>
      </c>
      <c r="W15" s="67"/>
      <c r="X15" s="68">
        <v>8</v>
      </c>
      <c r="Y15" s="67"/>
      <c r="Z15" s="75">
        <f>17697/16*W15*40%/2</f>
        <v>0</v>
      </c>
      <c r="AA15" s="75">
        <f>17697/16*8*50%/2</f>
        <v>2212.125</v>
      </c>
      <c r="AB15" s="75">
        <f>17697/18*Y15*40%/2</f>
        <v>0</v>
      </c>
      <c r="AC15" s="66">
        <f t="shared" si="1"/>
        <v>2212.125</v>
      </c>
      <c r="AD15" s="66">
        <f>N15</f>
        <v>8</v>
      </c>
      <c r="AE15" s="66">
        <f t="shared" ref="AE15:AE37" si="21">(U15+V15)*30%</f>
        <v>35902.78875</v>
      </c>
      <c r="AF15" s="75"/>
      <c r="AG15" s="69"/>
      <c r="AH15" s="75"/>
      <c r="AI15" s="67"/>
      <c r="AJ15" s="66"/>
      <c r="AK15" s="66"/>
      <c r="AL15" s="66"/>
      <c r="AM15" s="75"/>
      <c r="AN15" s="75"/>
      <c r="AO15" s="75"/>
      <c r="AP15" s="75"/>
      <c r="AQ15" s="75">
        <f>3975*AP15</f>
        <v>0</v>
      </c>
      <c r="AR15" s="66">
        <f t="shared" ref="AR15:AR37" si="22">(U15+V15)*10%</f>
        <v>11967.596250000002</v>
      </c>
      <c r="AS15" s="73">
        <f>(U15+V15)*40%</f>
        <v>47870.385000000009</v>
      </c>
      <c r="AT15" s="73"/>
      <c r="AU15" s="73"/>
      <c r="AV15" s="73"/>
      <c r="AW15" s="66">
        <f>AS15+AT15+AU15+AV15</f>
        <v>47870.385000000009</v>
      </c>
      <c r="AX15" s="66"/>
      <c r="AY15" s="66">
        <f t="shared" si="2"/>
        <v>121888.08750000001</v>
      </c>
      <c r="AZ15" s="66">
        <f t="shared" si="3"/>
        <v>217628.85750000001</v>
      </c>
      <c r="BA15" s="66">
        <f t="shared" si="8"/>
        <v>195865.97175000003</v>
      </c>
      <c r="BB15" s="66">
        <f t="shared" si="9"/>
        <v>11751.958305000002</v>
      </c>
      <c r="BC15" s="66">
        <f t="shared" si="10"/>
        <v>6855.3090112500013</v>
      </c>
      <c r="BD15" s="66">
        <f t="shared" si="11"/>
        <v>5875.979152500001</v>
      </c>
      <c r="BE15" s="66">
        <f t="shared" si="12"/>
        <v>119675.96250000001</v>
      </c>
      <c r="BF15" s="70">
        <f t="shared" si="13"/>
        <v>144159.20896875003</v>
      </c>
      <c r="BG15" s="70">
        <f t="shared" si="14"/>
        <v>2611.5462900000002</v>
      </c>
      <c r="BH15" s="66">
        <f t="shared" si="15"/>
        <v>141.02349966000003</v>
      </c>
      <c r="BI15" s="66">
        <f t="shared" si="16"/>
        <v>82.263708135000016</v>
      </c>
      <c r="BJ15" s="66">
        <f t="shared" si="17"/>
        <v>70.511749830000014</v>
      </c>
      <c r="BK15" s="66">
        <f t="shared" si="18"/>
        <v>119.67596250000001</v>
      </c>
      <c r="BL15" s="70">
        <f t="shared" si="19"/>
        <v>3025.0212101250004</v>
      </c>
    </row>
    <row r="16" spans="2:65" ht="23.5" x14ac:dyDescent="0.3">
      <c r="B16" s="57">
        <v>3</v>
      </c>
      <c r="C16" s="58" t="s">
        <v>155</v>
      </c>
      <c r="D16" s="18" t="s">
        <v>151</v>
      </c>
      <c r="E16" s="72" t="s">
        <v>156</v>
      </c>
      <c r="F16" s="62">
        <v>29.7</v>
      </c>
      <c r="G16" s="59" t="s">
        <v>157</v>
      </c>
      <c r="H16" s="108" t="s">
        <v>234</v>
      </c>
      <c r="I16" s="61"/>
      <c r="J16" s="18"/>
      <c r="K16" s="62" t="s">
        <v>154</v>
      </c>
      <c r="L16" s="63">
        <v>5.41</v>
      </c>
      <c r="M16" s="97">
        <f t="shared" ref="M16:M37" si="23">L16*17697*2</f>
        <v>191481.54</v>
      </c>
      <c r="N16" s="64">
        <f t="shared" si="7"/>
        <v>8</v>
      </c>
      <c r="O16" s="63">
        <v>8</v>
      </c>
      <c r="P16" s="65"/>
      <c r="Q16" s="65"/>
      <c r="R16" s="66">
        <f t="shared" ref="R16:R37" si="24">M16/16*O16</f>
        <v>95740.77</v>
      </c>
      <c r="S16" s="66">
        <f t="shared" ref="S16:S37" si="25">M16/16*P16</f>
        <v>0</v>
      </c>
      <c r="T16" s="66">
        <f t="shared" ref="T16:T37" si="26">M16/16*Q16</f>
        <v>0</v>
      </c>
      <c r="U16" s="66">
        <f t="shared" si="0"/>
        <v>95740.77</v>
      </c>
      <c r="V16" s="66">
        <f t="shared" si="20"/>
        <v>23935.192500000001</v>
      </c>
      <c r="W16" s="68">
        <v>5</v>
      </c>
      <c r="X16" s="67"/>
      <c r="Y16" s="67"/>
      <c r="Z16" s="75">
        <f>17697/16*W16*40%/2</f>
        <v>1106.0625</v>
      </c>
      <c r="AA16" s="75"/>
      <c r="AB16" s="75">
        <f>17697/18*Y16*40%/2</f>
        <v>0</v>
      </c>
      <c r="AC16" s="66">
        <f t="shared" si="1"/>
        <v>1106.0625</v>
      </c>
      <c r="AD16" s="66">
        <f t="shared" ref="AD16:AD37" si="27">N16</f>
        <v>8</v>
      </c>
      <c r="AE16" s="66">
        <f t="shared" si="21"/>
        <v>35902.78875</v>
      </c>
      <c r="AF16" s="75"/>
      <c r="AG16" s="69"/>
      <c r="AH16" s="75"/>
      <c r="AI16" s="67"/>
      <c r="AJ16" s="66"/>
      <c r="AK16" s="66"/>
      <c r="AL16" s="66"/>
      <c r="AM16" s="75"/>
      <c r="AN16" s="75"/>
      <c r="AO16" s="75"/>
      <c r="AP16" s="75"/>
      <c r="AQ16" s="75">
        <f>3975*AP16</f>
        <v>0</v>
      </c>
      <c r="AR16" s="66">
        <f t="shared" si="22"/>
        <v>11967.596250000002</v>
      </c>
      <c r="AS16" s="73">
        <f>(U16+V16)*40%</f>
        <v>47870.385000000009</v>
      </c>
      <c r="AT16" s="73"/>
      <c r="AU16" s="73"/>
      <c r="AV16" s="73"/>
      <c r="AW16" s="66">
        <f t="shared" ref="AW16:AW37" si="28">AS16+AT16+AU16+AV16</f>
        <v>47870.385000000009</v>
      </c>
      <c r="AX16" s="66"/>
      <c r="AY16" s="66">
        <f t="shared" si="2"/>
        <v>120782.02500000001</v>
      </c>
      <c r="AZ16" s="66">
        <f t="shared" si="3"/>
        <v>216522.79500000001</v>
      </c>
      <c r="BA16" s="66">
        <f t="shared" si="8"/>
        <v>194870.51550000001</v>
      </c>
      <c r="BB16" s="66">
        <f t="shared" si="9"/>
        <v>11692.23093</v>
      </c>
      <c r="BC16" s="66">
        <f t="shared" si="10"/>
        <v>6820.4680425000006</v>
      </c>
      <c r="BD16" s="66">
        <f t="shared" si="11"/>
        <v>5846.1154649999999</v>
      </c>
      <c r="BE16" s="66">
        <f t="shared" si="12"/>
        <v>119675.96250000001</v>
      </c>
      <c r="BF16" s="70">
        <f t="shared" si="13"/>
        <v>144034.77693750002</v>
      </c>
      <c r="BG16" s="70">
        <f t="shared" si="14"/>
        <v>2598.2735400000001</v>
      </c>
      <c r="BH16" s="66">
        <f t="shared" si="15"/>
        <v>140.30677116000001</v>
      </c>
      <c r="BI16" s="66">
        <f t="shared" si="16"/>
        <v>81.845616510000013</v>
      </c>
      <c r="BJ16" s="66">
        <f t="shared" si="17"/>
        <v>70.153385580000005</v>
      </c>
      <c r="BK16" s="66">
        <f t="shared" si="18"/>
        <v>119.67596250000001</v>
      </c>
      <c r="BL16" s="70">
        <f t="shared" si="19"/>
        <v>3010.2552757500002</v>
      </c>
    </row>
    <row r="17" spans="2:64" ht="27" customHeight="1" x14ac:dyDescent="0.3">
      <c r="B17" s="57">
        <v>4</v>
      </c>
      <c r="C17" s="58" t="s">
        <v>158</v>
      </c>
      <c r="D17" s="18" t="s">
        <v>151</v>
      </c>
      <c r="E17" s="98" t="s">
        <v>159</v>
      </c>
      <c r="F17" s="109" t="s">
        <v>233</v>
      </c>
      <c r="G17" s="59" t="s">
        <v>245</v>
      </c>
      <c r="H17" s="108" t="s">
        <v>236</v>
      </c>
      <c r="I17" s="61"/>
      <c r="J17" s="18"/>
      <c r="K17" s="62" t="s">
        <v>160</v>
      </c>
      <c r="L17" s="63">
        <v>5.41</v>
      </c>
      <c r="M17" s="97">
        <f t="shared" si="23"/>
        <v>191481.54</v>
      </c>
      <c r="N17" s="64">
        <f t="shared" si="7"/>
        <v>22</v>
      </c>
      <c r="O17" s="63">
        <v>22</v>
      </c>
      <c r="P17" s="65"/>
      <c r="Q17" s="65"/>
      <c r="R17" s="66">
        <f t="shared" si="24"/>
        <v>263287.11749999999</v>
      </c>
      <c r="S17" s="66">
        <f t="shared" si="25"/>
        <v>0</v>
      </c>
      <c r="T17" s="66">
        <f t="shared" si="26"/>
        <v>0</v>
      </c>
      <c r="U17" s="66">
        <f t="shared" si="0"/>
        <v>263287.11749999999</v>
      </c>
      <c r="V17" s="66">
        <f t="shared" si="20"/>
        <v>65821.779374999998</v>
      </c>
      <c r="W17" s="68">
        <v>18</v>
      </c>
      <c r="X17" s="67"/>
      <c r="Y17" s="67"/>
      <c r="Z17" s="75">
        <f>17697/16*W17*40%/2</f>
        <v>3981.8250000000003</v>
      </c>
      <c r="AA17" s="75">
        <f>17697/16*X17*40%</f>
        <v>0</v>
      </c>
      <c r="AB17" s="75">
        <f>17697/16*Y17*40%/2</f>
        <v>0</v>
      </c>
      <c r="AC17" s="66">
        <f t="shared" si="1"/>
        <v>3981.8250000000003</v>
      </c>
      <c r="AD17" s="66">
        <f t="shared" si="27"/>
        <v>22</v>
      </c>
      <c r="AE17" s="66">
        <f t="shared" si="21"/>
        <v>98732.66906249999</v>
      </c>
      <c r="AF17" s="75"/>
      <c r="AG17" s="69">
        <f>17697*25%</f>
        <v>4424.25</v>
      </c>
      <c r="AH17" s="75"/>
      <c r="AI17" s="67"/>
      <c r="AJ17" s="66"/>
      <c r="AK17" s="66"/>
      <c r="AL17" s="66"/>
      <c r="AM17" s="75"/>
      <c r="AN17" s="75"/>
      <c r="AO17" s="75"/>
      <c r="AP17" s="75">
        <v>1</v>
      </c>
      <c r="AQ17" s="75">
        <f>4313*AP17</f>
        <v>4313</v>
      </c>
      <c r="AR17" s="66">
        <f t="shared" si="22"/>
        <v>32910.889687499999</v>
      </c>
      <c r="AS17" s="73">
        <f t="shared" ref="AS17:AS18" si="29">(U17+V17)*40%</f>
        <v>131643.55875</v>
      </c>
      <c r="AT17" s="73"/>
      <c r="AU17" s="73"/>
      <c r="AV17" s="73"/>
      <c r="AW17" s="66">
        <f t="shared" si="28"/>
        <v>131643.55875</v>
      </c>
      <c r="AX17" s="66"/>
      <c r="AY17" s="66">
        <f t="shared" si="2"/>
        <v>341827.97187499999</v>
      </c>
      <c r="AZ17" s="66">
        <f t="shared" si="3"/>
        <v>605115.08937499998</v>
      </c>
      <c r="BA17" s="66">
        <f t="shared" si="8"/>
        <v>540290.58043750003</v>
      </c>
      <c r="BB17" s="66">
        <f t="shared" si="9"/>
        <v>32417.434826249999</v>
      </c>
      <c r="BC17" s="66">
        <f t="shared" si="10"/>
        <v>18910.170315312502</v>
      </c>
      <c r="BD17" s="66">
        <f t="shared" si="11"/>
        <v>16208.717413124999</v>
      </c>
      <c r="BE17" s="66">
        <f t="shared" si="12"/>
        <v>329108.89687499998</v>
      </c>
      <c r="BF17" s="70">
        <f t="shared" si="13"/>
        <v>396645.21942968748</v>
      </c>
      <c r="BG17" s="70">
        <f t="shared" si="14"/>
        <v>7261.3810724999994</v>
      </c>
      <c r="BH17" s="66">
        <f t="shared" si="15"/>
        <v>389.00921791499997</v>
      </c>
      <c r="BI17" s="66">
        <f t="shared" si="16"/>
        <v>226.92204378375004</v>
      </c>
      <c r="BJ17" s="66">
        <f t="shared" si="17"/>
        <v>194.50460895749998</v>
      </c>
      <c r="BK17" s="66">
        <f t="shared" si="18"/>
        <v>329.10889687499997</v>
      </c>
      <c r="BL17" s="70">
        <f t="shared" si="19"/>
        <v>8400.9258400312483</v>
      </c>
    </row>
    <row r="18" spans="2:64" ht="30" customHeight="1" x14ac:dyDescent="0.3">
      <c r="B18" s="57">
        <v>5</v>
      </c>
      <c r="C18" s="58" t="s">
        <v>161</v>
      </c>
      <c r="D18" s="18" t="s">
        <v>151</v>
      </c>
      <c r="E18" s="98" t="s">
        <v>159</v>
      </c>
      <c r="F18" s="62">
        <v>31.03</v>
      </c>
      <c r="G18" s="59" t="s">
        <v>243</v>
      </c>
      <c r="H18" s="108" t="s">
        <v>235</v>
      </c>
      <c r="I18" s="110"/>
      <c r="J18" s="72"/>
      <c r="K18" s="62" t="s">
        <v>154</v>
      </c>
      <c r="L18" s="63">
        <v>5.41</v>
      </c>
      <c r="M18" s="97">
        <f t="shared" si="23"/>
        <v>191481.54</v>
      </c>
      <c r="N18" s="64">
        <f t="shared" si="7"/>
        <v>18</v>
      </c>
      <c r="O18" s="63">
        <v>18</v>
      </c>
      <c r="P18" s="65"/>
      <c r="Q18" s="65"/>
      <c r="R18" s="66">
        <f t="shared" si="24"/>
        <v>215416.73250000001</v>
      </c>
      <c r="S18" s="66">
        <f t="shared" si="25"/>
        <v>0</v>
      </c>
      <c r="T18" s="66">
        <f t="shared" si="26"/>
        <v>0</v>
      </c>
      <c r="U18" s="66">
        <f t="shared" si="0"/>
        <v>215416.73250000001</v>
      </c>
      <c r="V18" s="66">
        <f t="shared" si="20"/>
        <v>53854.183125000003</v>
      </c>
      <c r="W18" s="68">
        <v>10</v>
      </c>
      <c r="X18" s="67"/>
      <c r="Y18" s="67"/>
      <c r="Z18" s="75">
        <f>17697/16*W18*40%/2</f>
        <v>2212.125</v>
      </c>
      <c r="AA18" s="75">
        <f>17697/18*X18*40%/2</f>
        <v>0</v>
      </c>
      <c r="AB18" s="75">
        <f>17697/16*Y18*40%/2</f>
        <v>0</v>
      </c>
      <c r="AC18" s="66">
        <f t="shared" si="1"/>
        <v>2212.125</v>
      </c>
      <c r="AD18" s="66">
        <f t="shared" si="27"/>
        <v>18</v>
      </c>
      <c r="AE18" s="66">
        <f t="shared" si="21"/>
        <v>80781.274687500001</v>
      </c>
      <c r="AF18" s="75"/>
      <c r="AG18" s="69">
        <f>17697*25%</f>
        <v>4424.25</v>
      </c>
      <c r="AH18" s="75"/>
      <c r="AI18" s="67"/>
      <c r="AJ18" s="66"/>
      <c r="AK18" s="66"/>
      <c r="AL18" s="66"/>
      <c r="AM18" s="75"/>
      <c r="AN18" s="75"/>
      <c r="AO18" s="75"/>
      <c r="AP18" s="75">
        <v>1</v>
      </c>
      <c r="AQ18" s="75">
        <f t="shared" ref="AQ18" si="30">4313*AP18</f>
        <v>4313</v>
      </c>
      <c r="AR18" s="66">
        <f t="shared" si="22"/>
        <v>26927.091562500005</v>
      </c>
      <c r="AS18" s="73">
        <f t="shared" si="29"/>
        <v>107708.36625000002</v>
      </c>
      <c r="AT18" s="73"/>
      <c r="AU18" s="73"/>
      <c r="AV18" s="73"/>
      <c r="AW18" s="66">
        <f t="shared" si="28"/>
        <v>107708.36625000002</v>
      </c>
      <c r="AX18" s="66"/>
      <c r="AY18" s="66">
        <f t="shared" si="2"/>
        <v>280220.29062500002</v>
      </c>
      <c r="AZ18" s="66">
        <f t="shared" si="3"/>
        <v>495637.02312500007</v>
      </c>
      <c r="BA18" s="66">
        <f t="shared" si="8"/>
        <v>441760.32081250008</v>
      </c>
      <c r="BB18" s="66">
        <f t="shared" si="9"/>
        <v>26505.619248750005</v>
      </c>
      <c r="BC18" s="66">
        <f t="shared" si="10"/>
        <v>15461.611228437505</v>
      </c>
      <c r="BD18" s="66">
        <f t="shared" si="11"/>
        <v>13252.809624375002</v>
      </c>
      <c r="BE18" s="66">
        <f t="shared" si="12"/>
        <v>269270.91562500002</v>
      </c>
      <c r="BF18" s="70">
        <f t="shared" si="13"/>
        <v>324490.95572656253</v>
      </c>
      <c r="BG18" s="70">
        <f t="shared" si="14"/>
        <v>5947.6442775000005</v>
      </c>
      <c r="BH18" s="66">
        <f t="shared" si="15"/>
        <v>318.06743098500004</v>
      </c>
      <c r="BI18" s="66">
        <f t="shared" si="16"/>
        <v>185.53933474125006</v>
      </c>
      <c r="BJ18" s="66">
        <f t="shared" si="17"/>
        <v>159.03371549250002</v>
      </c>
      <c r="BK18" s="66">
        <f t="shared" si="18"/>
        <v>269.27091562500004</v>
      </c>
      <c r="BL18" s="70">
        <f t="shared" si="19"/>
        <v>6879.555674343751</v>
      </c>
    </row>
    <row r="19" spans="2:64" ht="31.5" customHeight="1" x14ac:dyDescent="0.3">
      <c r="B19" s="57">
        <v>6</v>
      </c>
      <c r="C19" s="63" t="s">
        <v>168</v>
      </c>
      <c r="D19" s="18" t="s">
        <v>151</v>
      </c>
      <c r="E19" s="72" t="s">
        <v>169</v>
      </c>
      <c r="F19" s="76">
        <v>12.5</v>
      </c>
      <c r="G19" s="59" t="s">
        <v>170</v>
      </c>
      <c r="H19" s="60" t="s">
        <v>171</v>
      </c>
      <c r="I19" s="61"/>
      <c r="J19" s="18"/>
      <c r="K19" s="76" t="s">
        <v>166</v>
      </c>
      <c r="L19" s="78">
        <v>4.8600000000000003</v>
      </c>
      <c r="M19" s="97">
        <f t="shared" si="23"/>
        <v>172014.84000000003</v>
      </c>
      <c r="N19" s="64">
        <f t="shared" si="7"/>
        <v>2</v>
      </c>
      <c r="O19" s="63"/>
      <c r="P19" s="65"/>
      <c r="Q19" s="65">
        <v>2</v>
      </c>
      <c r="R19" s="66">
        <f t="shared" si="24"/>
        <v>0</v>
      </c>
      <c r="S19" s="66">
        <f t="shared" si="25"/>
        <v>0</v>
      </c>
      <c r="T19" s="66">
        <f t="shared" si="26"/>
        <v>21501.855000000003</v>
      </c>
      <c r="U19" s="66">
        <f t="shared" si="0"/>
        <v>21501.855000000003</v>
      </c>
      <c r="V19" s="66">
        <f t="shared" si="20"/>
        <v>5375.4637500000008</v>
      </c>
      <c r="W19" s="68"/>
      <c r="X19" s="68"/>
      <c r="Y19" s="68"/>
      <c r="Z19" s="75"/>
      <c r="AA19" s="75"/>
      <c r="AB19" s="75"/>
      <c r="AC19" s="66">
        <f t="shared" si="1"/>
        <v>0</v>
      </c>
      <c r="AD19" s="66">
        <f t="shared" si="27"/>
        <v>2</v>
      </c>
      <c r="AE19" s="66">
        <f t="shared" si="21"/>
        <v>8063.1956250000012</v>
      </c>
      <c r="AF19" s="75"/>
      <c r="AG19" s="69"/>
      <c r="AH19" s="75"/>
      <c r="AI19" s="67"/>
      <c r="AJ19" s="66"/>
      <c r="AK19" s="66"/>
      <c r="AL19" s="66"/>
      <c r="AM19" s="75"/>
      <c r="AN19" s="75"/>
      <c r="AO19" s="75"/>
      <c r="AP19" s="75"/>
      <c r="AQ19" s="75">
        <f t="shared" ref="AQ19:AQ32" si="31">3975*AP19</f>
        <v>0</v>
      </c>
      <c r="AR19" s="66">
        <f t="shared" si="22"/>
        <v>2687.7318750000009</v>
      </c>
      <c r="AS19" s="73"/>
      <c r="AT19" s="73"/>
      <c r="AU19" s="73"/>
      <c r="AV19" s="73">
        <f t="shared" ref="AV19:AV21" si="32">(U19+V19)*35%</f>
        <v>9407.0615625000009</v>
      </c>
      <c r="AW19" s="66">
        <f t="shared" si="28"/>
        <v>9407.0615625000009</v>
      </c>
      <c r="AX19" s="66"/>
      <c r="AY19" s="66">
        <f t="shared" si="2"/>
        <v>25533.452812500007</v>
      </c>
      <c r="AZ19" s="66">
        <f t="shared" si="3"/>
        <v>47035.30781250001</v>
      </c>
      <c r="BA19" s="66">
        <f t="shared" si="8"/>
        <v>42331.777031250007</v>
      </c>
      <c r="BB19" s="66">
        <f t="shared" si="9"/>
        <v>2539.9066218750004</v>
      </c>
      <c r="BC19" s="66">
        <f t="shared" si="10"/>
        <v>1481.6121960937503</v>
      </c>
      <c r="BD19" s="66">
        <f t="shared" si="11"/>
        <v>1269.9533109375002</v>
      </c>
      <c r="BE19" s="66">
        <f>U19+V19</f>
        <v>26877.318750000006</v>
      </c>
      <c r="BF19" s="70">
        <f t="shared" si="13"/>
        <v>32168.790878906257</v>
      </c>
      <c r="BG19" s="70">
        <f t="shared" si="14"/>
        <v>564.4236937500001</v>
      </c>
      <c r="BH19" s="66">
        <f t="shared" si="15"/>
        <v>30.478879462500004</v>
      </c>
      <c r="BI19" s="66">
        <f t="shared" si="16"/>
        <v>17.779346353125003</v>
      </c>
      <c r="BJ19" s="66">
        <f t="shared" si="17"/>
        <v>15.239439731250002</v>
      </c>
      <c r="BK19" s="66">
        <f t="shared" si="18"/>
        <v>26.877318750000004</v>
      </c>
      <c r="BL19" s="70">
        <f t="shared" si="19"/>
        <v>654.79867804687512</v>
      </c>
    </row>
    <row r="20" spans="2:64" ht="21" customHeight="1" x14ac:dyDescent="0.3">
      <c r="B20" s="57"/>
      <c r="C20" s="63" t="s">
        <v>168</v>
      </c>
      <c r="D20" s="18" t="s">
        <v>151</v>
      </c>
      <c r="E20" s="72" t="s">
        <v>269</v>
      </c>
      <c r="F20" s="76">
        <v>12.5</v>
      </c>
      <c r="G20" s="59" t="s">
        <v>241</v>
      </c>
      <c r="H20" s="60" t="s">
        <v>178</v>
      </c>
      <c r="I20" s="61"/>
      <c r="J20" s="18"/>
      <c r="K20" s="76" t="s">
        <v>179</v>
      </c>
      <c r="L20" s="78">
        <v>3.57</v>
      </c>
      <c r="M20" s="97">
        <f t="shared" si="23"/>
        <v>126356.57999999999</v>
      </c>
      <c r="N20" s="64">
        <f t="shared" si="7"/>
        <v>6</v>
      </c>
      <c r="O20" s="63"/>
      <c r="P20" s="65">
        <v>6</v>
      </c>
      <c r="Q20" s="65"/>
      <c r="R20" s="66">
        <f t="shared" si="24"/>
        <v>0</v>
      </c>
      <c r="S20" s="66">
        <f t="shared" si="25"/>
        <v>47383.717499999999</v>
      </c>
      <c r="T20" s="66"/>
      <c r="U20" s="66">
        <f t="shared" si="0"/>
        <v>47383.717499999999</v>
      </c>
      <c r="V20" s="66">
        <f t="shared" si="20"/>
        <v>11845.929375</v>
      </c>
      <c r="W20" s="68"/>
      <c r="X20" s="68"/>
      <c r="Y20" s="68"/>
      <c r="Z20" s="75"/>
      <c r="AA20" s="75"/>
      <c r="AB20" s="75"/>
      <c r="AC20" s="66">
        <f t="shared" si="1"/>
        <v>0</v>
      </c>
      <c r="AD20" s="66">
        <f t="shared" si="27"/>
        <v>6</v>
      </c>
      <c r="AE20" s="66">
        <f t="shared" si="21"/>
        <v>17768.8940625</v>
      </c>
      <c r="AF20" s="75"/>
      <c r="AG20" s="69"/>
      <c r="AH20" s="75"/>
      <c r="AI20" s="67"/>
      <c r="AJ20" s="66"/>
      <c r="AK20" s="66"/>
      <c r="AL20" s="66"/>
      <c r="AM20" s="75"/>
      <c r="AN20" s="75"/>
      <c r="AO20" s="75"/>
      <c r="AP20" s="75"/>
      <c r="AQ20" s="75"/>
      <c r="AR20" s="66">
        <f t="shared" si="22"/>
        <v>5922.9646874999999</v>
      </c>
      <c r="AS20" s="73"/>
      <c r="AT20" s="73"/>
      <c r="AU20" s="73"/>
      <c r="AV20" s="73"/>
      <c r="AW20" s="66">
        <f t="shared" si="28"/>
        <v>0</v>
      </c>
      <c r="AX20" s="66"/>
      <c r="AY20" s="66">
        <f t="shared" si="2"/>
        <v>35537.788124999999</v>
      </c>
      <c r="AZ20" s="66">
        <f t="shared" si="3"/>
        <v>82921.505624999991</v>
      </c>
      <c r="BA20" s="66">
        <f t="shared" si="8"/>
        <v>74629.355062499992</v>
      </c>
      <c r="BB20" s="66">
        <f t="shared" si="9"/>
        <v>4477.7613037499996</v>
      </c>
      <c r="BC20" s="66">
        <f t="shared" si="10"/>
        <v>2612.0274271875001</v>
      </c>
      <c r="BD20" s="66">
        <f t="shared" si="11"/>
        <v>2238.8806518749998</v>
      </c>
      <c r="BE20" s="66">
        <f t="shared" si="12"/>
        <v>59229.646874999999</v>
      </c>
      <c r="BF20" s="70">
        <f t="shared" si="13"/>
        <v>68558.31625781249</v>
      </c>
      <c r="BG20" s="70">
        <f t="shared" si="14"/>
        <v>995.05806749999988</v>
      </c>
      <c r="BH20" s="66">
        <f t="shared" si="15"/>
        <v>53.733135644999997</v>
      </c>
      <c r="BI20" s="66">
        <f t="shared" si="16"/>
        <v>31.344329126249999</v>
      </c>
      <c r="BJ20" s="66">
        <f t="shared" si="17"/>
        <v>26.866567822499999</v>
      </c>
      <c r="BK20" s="66">
        <f t="shared" si="18"/>
        <v>59.229646875</v>
      </c>
      <c r="BL20" s="70">
        <f t="shared" si="19"/>
        <v>1166.2317469687498</v>
      </c>
    </row>
    <row r="21" spans="2:64" ht="26" x14ac:dyDescent="0.3">
      <c r="B21" s="57">
        <v>7</v>
      </c>
      <c r="C21" s="58" t="s">
        <v>184</v>
      </c>
      <c r="D21" s="18" t="s">
        <v>151</v>
      </c>
      <c r="E21" s="72" t="s">
        <v>185</v>
      </c>
      <c r="F21" s="62">
        <v>17</v>
      </c>
      <c r="G21" s="59" t="s">
        <v>153</v>
      </c>
      <c r="H21" s="60" t="s">
        <v>275</v>
      </c>
      <c r="I21" s="61"/>
      <c r="J21" s="18"/>
      <c r="K21" s="62" t="s">
        <v>176</v>
      </c>
      <c r="L21" s="63">
        <v>4.99</v>
      </c>
      <c r="M21" s="97">
        <f>L21*17697*2</f>
        <v>176616.06</v>
      </c>
      <c r="N21" s="64">
        <f t="shared" si="7"/>
        <v>18</v>
      </c>
      <c r="O21" s="63"/>
      <c r="P21" s="74">
        <v>7</v>
      </c>
      <c r="Q21" s="74">
        <v>11</v>
      </c>
      <c r="R21" s="66">
        <f>M21/16*O21</f>
        <v>0</v>
      </c>
      <c r="S21" s="66">
        <f>M21/16*P21</f>
        <v>77269.526249999995</v>
      </c>
      <c r="T21" s="66">
        <f>M21/16*Q21</f>
        <v>121423.54124999999</v>
      </c>
      <c r="U21" s="66">
        <f t="shared" si="0"/>
        <v>198693.0675</v>
      </c>
      <c r="V21" s="66">
        <f>U21*25%</f>
        <v>49673.266875000001</v>
      </c>
      <c r="W21" s="67"/>
      <c r="X21" s="68">
        <v>7</v>
      </c>
      <c r="Y21" s="67">
        <v>10</v>
      </c>
      <c r="Z21" s="75">
        <f>17697/18*W21*40%/2</f>
        <v>0</v>
      </c>
      <c r="AA21" s="75">
        <f>17697/16*X21*50%/2</f>
        <v>1935.609375</v>
      </c>
      <c r="AB21" s="75">
        <f>17697/16*Y21*50%/2</f>
        <v>2765.15625</v>
      </c>
      <c r="AC21" s="66">
        <f t="shared" si="1"/>
        <v>4700.765625</v>
      </c>
      <c r="AD21" s="66">
        <f>N21</f>
        <v>18</v>
      </c>
      <c r="AE21" s="66">
        <f>(U21+V21)*30%</f>
        <v>74509.900312500002</v>
      </c>
      <c r="AF21" s="75"/>
      <c r="AG21" s="69">
        <f>17697*30%</f>
        <v>5309.0999999999995</v>
      </c>
      <c r="AH21" s="75"/>
      <c r="AI21" s="73"/>
      <c r="AJ21" s="66"/>
      <c r="AK21" s="66"/>
      <c r="AL21" s="66"/>
      <c r="AM21" s="75"/>
      <c r="AN21" s="75"/>
      <c r="AO21" s="75"/>
      <c r="AP21" s="75">
        <v>1</v>
      </c>
      <c r="AQ21" s="75">
        <f>4313*AP21</f>
        <v>4313</v>
      </c>
      <c r="AR21" s="66">
        <f t="shared" si="22"/>
        <v>24836.633437500001</v>
      </c>
      <c r="AS21" s="73"/>
      <c r="AT21" s="73"/>
      <c r="AU21" s="73"/>
      <c r="AV21" s="73">
        <f t="shared" si="32"/>
        <v>86928.217031249995</v>
      </c>
      <c r="AW21" s="66">
        <f t="shared" si="28"/>
        <v>86928.217031249995</v>
      </c>
      <c r="AX21" s="66"/>
      <c r="AY21" s="66">
        <f t="shared" si="2"/>
        <v>250270.88328125002</v>
      </c>
      <c r="AZ21" s="66">
        <f t="shared" si="3"/>
        <v>448963.95078125002</v>
      </c>
      <c r="BA21" s="66">
        <f t="shared" si="8"/>
        <v>399754.55570312502</v>
      </c>
      <c r="BB21" s="66">
        <f t="shared" si="9"/>
        <v>23985.273342187502</v>
      </c>
      <c r="BC21" s="66">
        <f t="shared" si="10"/>
        <v>13991.409449609377</v>
      </c>
      <c r="BD21" s="66">
        <f t="shared" si="11"/>
        <v>11992.636671093751</v>
      </c>
      <c r="BE21" s="66">
        <f t="shared" si="12"/>
        <v>248366.33437500001</v>
      </c>
      <c r="BF21" s="70">
        <f t="shared" si="13"/>
        <v>298335.65383789066</v>
      </c>
      <c r="BG21" s="70">
        <f t="shared" si="14"/>
        <v>5387.5674093750004</v>
      </c>
      <c r="BH21" s="66">
        <f t="shared" si="15"/>
        <v>287.82328010625002</v>
      </c>
      <c r="BI21" s="66">
        <f t="shared" si="16"/>
        <v>167.89691339531254</v>
      </c>
      <c r="BJ21" s="66">
        <f t="shared" si="17"/>
        <v>143.91164005312501</v>
      </c>
      <c r="BK21" s="66">
        <f t="shared" si="18"/>
        <v>248.36633437500001</v>
      </c>
      <c r="BL21" s="70">
        <f t="shared" si="19"/>
        <v>6235.5655773046883</v>
      </c>
    </row>
    <row r="22" spans="2:64" ht="46" x14ac:dyDescent="0.3">
      <c r="B22" s="57">
        <v>8</v>
      </c>
      <c r="C22" s="58" t="s">
        <v>271</v>
      </c>
      <c r="D22" s="18" t="s">
        <v>151</v>
      </c>
      <c r="E22" s="18" t="s">
        <v>172</v>
      </c>
      <c r="F22" s="62">
        <v>5.7</v>
      </c>
      <c r="G22" s="59" t="s">
        <v>173</v>
      </c>
      <c r="H22" s="60" t="s">
        <v>174</v>
      </c>
      <c r="I22" s="61"/>
      <c r="J22" s="60" t="s">
        <v>175</v>
      </c>
      <c r="K22" s="62" t="s">
        <v>176</v>
      </c>
      <c r="L22" s="63">
        <v>4.66</v>
      </c>
      <c r="M22" s="97">
        <f t="shared" si="23"/>
        <v>164936.04</v>
      </c>
      <c r="N22" s="64">
        <f t="shared" si="7"/>
        <v>10</v>
      </c>
      <c r="O22" s="63"/>
      <c r="P22" s="74">
        <v>6</v>
      </c>
      <c r="Q22" s="74">
        <v>4</v>
      </c>
      <c r="R22" s="66">
        <f t="shared" si="24"/>
        <v>0</v>
      </c>
      <c r="S22" s="66">
        <f t="shared" si="25"/>
        <v>61851.014999999999</v>
      </c>
      <c r="T22" s="66">
        <f t="shared" si="26"/>
        <v>41234.01</v>
      </c>
      <c r="U22" s="66">
        <f t="shared" si="0"/>
        <v>103085.02499999999</v>
      </c>
      <c r="V22" s="66">
        <f t="shared" si="20"/>
        <v>25771.256249999999</v>
      </c>
      <c r="W22" s="68"/>
      <c r="X22" s="68">
        <v>6</v>
      </c>
      <c r="Y22" s="68">
        <v>4</v>
      </c>
      <c r="Z22" s="75"/>
      <c r="AA22" s="75">
        <f t="shared" ref="AA22:AB24" si="33">17697/16*X22*40%/2</f>
        <v>1327.2750000000001</v>
      </c>
      <c r="AB22" s="75">
        <f t="shared" si="33"/>
        <v>884.85</v>
      </c>
      <c r="AC22" s="66">
        <f t="shared" si="1"/>
        <v>2212.125</v>
      </c>
      <c r="AD22" s="66">
        <f t="shared" si="27"/>
        <v>10</v>
      </c>
      <c r="AE22" s="66">
        <f t="shared" si="21"/>
        <v>38656.884375000001</v>
      </c>
      <c r="AF22" s="75">
        <f>17697*2</f>
        <v>35394</v>
      </c>
      <c r="AG22" s="69"/>
      <c r="AH22" s="75"/>
      <c r="AI22" s="73"/>
      <c r="AJ22" s="66"/>
      <c r="AK22" s="66"/>
      <c r="AL22" s="66"/>
      <c r="AM22" s="75"/>
      <c r="AN22" s="75"/>
      <c r="AO22" s="75"/>
      <c r="AP22" s="75">
        <v>1</v>
      </c>
      <c r="AQ22" s="75">
        <f>4313*AP22</f>
        <v>4313</v>
      </c>
      <c r="AR22" s="66">
        <f t="shared" si="22"/>
        <v>12885.628125000001</v>
      </c>
      <c r="AS22" s="73"/>
      <c r="AT22" s="73"/>
      <c r="AU22" s="73">
        <f>(U22+V22)*30%</f>
        <v>38656.884375000001</v>
      </c>
      <c r="AV22" s="73"/>
      <c r="AW22" s="66">
        <f t="shared" si="28"/>
        <v>38656.884375000001</v>
      </c>
      <c r="AX22" s="66"/>
      <c r="AY22" s="66">
        <f t="shared" si="2"/>
        <v>157889.77812500001</v>
      </c>
      <c r="AZ22" s="66">
        <f t="shared" si="3"/>
        <v>260974.80312500001</v>
      </c>
      <c r="BA22" s="66">
        <f t="shared" si="8"/>
        <v>230564.3228125</v>
      </c>
      <c r="BB22" s="66">
        <f t="shared" si="9"/>
        <v>13833.85936875</v>
      </c>
      <c r="BC22" s="66">
        <f t="shared" si="10"/>
        <v>8069.7512984375007</v>
      </c>
      <c r="BD22" s="66">
        <f t="shared" si="11"/>
        <v>6916.9296843749999</v>
      </c>
      <c r="BE22" s="66">
        <f t="shared" si="12"/>
        <v>128856.28125</v>
      </c>
      <c r="BF22" s="70">
        <f t="shared" si="13"/>
        <v>157676.82160156249</v>
      </c>
      <c r="BG22" s="70">
        <f t="shared" si="14"/>
        <v>3131.6976375000004</v>
      </c>
      <c r="BH22" s="66">
        <f t="shared" si="15"/>
        <v>166.006312425</v>
      </c>
      <c r="BI22" s="66">
        <f t="shared" si="16"/>
        <v>96.837015581250014</v>
      </c>
      <c r="BJ22" s="66">
        <f t="shared" si="17"/>
        <v>83.003156212500002</v>
      </c>
      <c r="BK22" s="66">
        <f t="shared" si="18"/>
        <v>128.85628124999999</v>
      </c>
      <c r="BL22" s="70">
        <f t="shared" si="19"/>
        <v>3606.4004029687503</v>
      </c>
    </row>
    <row r="23" spans="2:64" ht="13" x14ac:dyDescent="0.3">
      <c r="B23" s="57">
        <v>9</v>
      </c>
      <c r="C23" s="58" t="s">
        <v>271</v>
      </c>
      <c r="D23" s="18" t="s">
        <v>151</v>
      </c>
      <c r="E23" s="18" t="s">
        <v>172</v>
      </c>
      <c r="F23" s="76">
        <v>5.7</v>
      </c>
      <c r="G23" s="111" t="s">
        <v>177</v>
      </c>
      <c r="H23" s="58" t="s">
        <v>178</v>
      </c>
      <c r="I23" s="61"/>
      <c r="J23" s="18"/>
      <c r="K23" s="76" t="s">
        <v>179</v>
      </c>
      <c r="L23" s="112">
        <v>3.49</v>
      </c>
      <c r="M23" s="97">
        <f t="shared" si="23"/>
        <v>123525.06000000001</v>
      </c>
      <c r="N23" s="64">
        <f t="shared" si="7"/>
        <v>9</v>
      </c>
      <c r="O23" s="112"/>
      <c r="P23" s="65">
        <v>5</v>
      </c>
      <c r="Q23" s="65">
        <v>4</v>
      </c>
      <c r="R23" s="66">
        <f t="shared" si="24"/>
        <v>0</v>
      </c>
      <c r="S23" s="66">
        <f t="shared" si="25"/>
        <v>38601.581250000003</v>
      </c>
      <c r="T23" s="66">
        <f t="shared" si="26"/>
        <v>30881.265000000003</v>
      </c>
      <c r="U23" s="66">
        <f t="shared" si="0"/>
        <v>69482.846250000002</v>
      </c>
      <c r="V23" s="66">
        <f t="shared" si="20"/>
        <v>17370.711562500001</v>
      </c>
      <c r="W23" s="68"/>
      <c r="X23" s="68">
        <v>5</v>
      </c>
      <c r="Y23" s="68">
        <v>4</v>
      </c>
      <c r="Z23" s="75">
        <f>17697/18*W23*40%</f>
        <v>0</v>
      </c>
      <c r="AA23" s="75">
        <f t="shared" si="33"/>
        <v>1106.0625</v>
      </c>
      <c r="AB23" s="75">
        <f t="shared" si="33"/>
        <v>884.85</v>
      </c>
      <c r="AC23" s="66">
        <f t="shared" si="1"/>
        <v>1990.9124999999999</v>
      </c>
      <c r="AD23" s="66">
        <f t="shared" si="27"/>
        <v>9</v>
      </c>
      <c r="AE23" s="66">
        <f t="shared" si="21"/>
        <v>26056.067343750001</v>
      </c>
      <c r="AF23" s="75"/>
      <c r="AG23" s="69">
        <v>5309</v>
      </c>
      <c r="AH23" s="75"/>
      <c r="AI23" s="73"/>
      <c r="AJ23" s="66"/>
      <c r="AK23" s="66"/>
      <c r="AL23" s="66"/>
      <c r="AM23" s="75"/>
      <c r="AN23" s="75"/>
      <c r="AO23" s="75"/>
      <c r="AP23" s="75"/>
      <c r="AQ23" s="75">
        <f>3975*AP23</f>
        <v>0</v>
      </c>
      <c r="AR23" s="66">
        <f t="shared" si="22"/>
        <v>8685.3557812500003</v>
      </c>
      <c r="AS23" s="73"/>
      <c r="AT23" s="73"/>
      <c r="AU23" s="73"/>
      <c r="AV23" s="73"/>
      <c r="AW23" s="66">
        <f t="shared" si="28"/>
        <v>0</v>
      </c>
      <c r="AX23" s="66"/>
      <c r="AY23" s="66">
        <f t="shared" si="2"/>
        <v>59412.0471875</v>
      </c>
      <c r="AZ23" s="66">
        <f t="shared" si="3"/>
        <v>128894.8934375</v>
      </c>
      <c r="BA23" s="66">
        <f t="shared" si="8"/>
        <v>116005.40409375</v>
      </c>
      <c r="BB23" s="66">
        <f t="shared" si="9"/>
        <v>6960.3242456249991</v>
      </c>
      <c r="BC23" s="66">
        <f t="shared" si="10"/>
        <v>4060.1891432812504</v>
      </c>
      <c r="BD23" s="66">
        <f t="shared" si="11"/>
        <v>3480.1621228124995</v>
      </c>
      <c r="BE23" s="66">
        <f t="shared" si="12"/>
        <v>86853.557812500003</v>
      </c>
      <c r="BF23" s="70">
        <f t="shared" si="13"/>
        <v>101354.23332421875</v>
      </c>
      <c r="BG23" s="70">
        <f t="shared" si="14"/>
        <v>1546.73872125</v>
      </c>
      <c r="BH23" s="66">
        <f t="shared" si="15"/>
        <v>83.523890947499979</v>
      </c>
      <c r="BI23" s="66">
        <f t="shared" si="16"/>
        <v>48.722269719375007</v>
      </c>
      <c r="BJ23" s="66">
        <f t="shared" si="17"/>
        <v>41.761945473749989</v>
      </c>
      <c r="BK23" s="66">
        <f t="shared" si="18"/>
        <v>86.8535578125</v>
      </c>
      <c r="BL23" s="70">
        <f t="shared" si="19"/>
        <v>1807.6003852031249</v>
      </c>
    </row>
    <row r="24" spans="2:64" ht="25.5" customHeight="1" x14ac:dyDescent="0.3">
      <c r="B24" s="57">
        <v>10</v>
      </c>
      <c r="C24" s="59" t="s">
        <v>180</v>
      </c>
      <c r="D24" s="18" t="s">
        <v>151</v>
      </c>
      <c r="E24" s="72" t="s">
        <v>181</v>
      </c>
      <c r="F24" s="62">
        <v>12.5</v>
      </c>
      <c r="G24" s="59" t="s">
        <v>182</v>
      </c>
      <c r="H24" s="60" t="s">
        <v>183</v>
      </c>
      <c r="I24" s="61"/>
      <c r="J24" s="18"/>
      <c r="K24" s="62" t="s">
        <v>176</v>
      </c>
      <c r="L24" s="63">
        <v>4.8099999999999996</v>
      </c>
      <c r="M24" s="97">
        <f t="shared" si="23"/>
        <v>170245.13999999998</v>
      </c>
      <c r="N24" s="64">
        <f t="shared" si="7"/>
        <v>18</v>
      </c>
      <c r="O24" s="63">
        <v>3</v>
      </c>
      <c r="P24" s="74">
        <v>9</v>
      </c>
      <c r="Q24" s="74">
        <v>6</v>
      </c>
      <c r="R24" s="66">
        <f t="shared" si="24"/>
        <v>31920.963749999995</v>
      </c>
      <c r="S24" s="66">
        <f t="shared" si="25"/>
        <v>95762.891249999986</v>
      </c>
      <c r="T24" s="66">
        <f t="shared" si="26"/>
        <v>63841.927499999991</v>
      </c>
      <c r="U24" s="66">
        <f t="shared" si="0"/>
        <v>191525.78249999997</v>
      </c>
      <c r="V24" s="66">
        <f t="shared" si="20"/>
        <v>47881.445624999993</v>
      </c>
      <c r="W24" s="68"/>
      <c r="X24" s="68"/>
      <c r="Y24" s="68"/>
      <c r="Z24" s="75">
        <f>17697/16*W24*40%/2</f>
        <v>0</v>
      </c>
      <c r="AA24" s="75">
        <f t="shared" si="33"/>
        <v>0</v>
      </c>
      <c r="AB24" s="75">
        <f t="shared" si="33"/>
        <v>0</v>
      </c>
      <c r="AC24" s="66">
        <f t="shared" si="1"/>
        <v>0</v>
      </c>
      <c r="AD24" s="66">
        <f t="shared" si="27"/>
        <v>18</v>
      </c>
      <c r="AE24" s="66">
        <f t="shared" si="21"/>
        <v>71822.16843749999</v>
      </c>
      <c r="AF24" s="75"/>
      <c r="AG24" s="69"/>
      <c r="AH24" s="75"/>
      <c r="AI24" s="67"/>
      <c r="AJ24" s="66"/>
      <c r="AK24" s="66"/>
      <c r="AL24" s="66"/>
      <c r="AM24" s="75"/>
      <c r="AN24" s="75"/>
      <c r="AO24" s="75"/>
      <c r="AP24" s="75">
        <v>1</v>
      </c>
      <c r="AQ24" s="75">
        <f t="shared" ref="AQ24:AQ29" si="34">4313*AP24</f>
        <v>4313</v>
      </c>
      <c r="AR24" s="66">
        <f t="shared" si="22"/>
        <v>23940.722812499997</v>
      </c>
      <c r="AS24" s="73"/>
      <c r="AT24" s="73"/>
      <c r="AU24" s="73">
        <f>(U24+V24)*30%</f>
        <v>71822.16843749999</v>
      </c>
      <c r="AV24" s="73"/>
      <c r="AW24" s="66">
        <f t="shared" si="28"/>
        <v>71822.16843749999</v>
      </c>
      <c r="AX24" s="66">
        <v>17697</v>
      </c>
      <c r="AY24" s="66">
        <f t="shared" si="2"/>
        <v>237476.50531249997</v>
      </c>
      <c r="AZ24" s="66">
        <f t="shared" si="3"/>
        <v>429002.28781249991</v>
      </c>
      <c r="BA24" s="66">
        <f t="shared" si="8"/>
        <v>381789.0590312499</v>
      </c>
      <c r="BB24" s="66">
        <f t="shared" si="9"/>
        <v>22907.343541874994</v>
      </c>
      <c r="BC24" s="66">
        <f t="shared" si="10"/>
        <v>13362.617066093748</v>
      </c>
      <c r="BD24" s="66">
        <f t="shared" si="11"/>
        <v>11453.671770937497</v>
      </c>
      <c r="BE24" s="66">
        <f t="shared" si="12"/>
        <v>239407.22812499997</v>
      </c>
      <c r="BF24" s="70">
        <f t="shared" si="13"/>
        <v>287130.86050390621</v>
      </c>
      <c r="BG24" s="70">
        <f t="shared" si="14"/>
        <v>5148.027453749999</v>
      </c>
      <c r="BH24" s="66">
        <f t="shared" si="15"/>
        <v>274.88812250249998</v>
      </c>
      <c r="BI24" s="66">
        <f t="shared" si="16"/>
        <v>160.35140479312497</v>
      </c>
      <c r="BJ24" s="66">
        <f t="shared" si="17"/>
        <v>137.44406125124999</v>
      </c>
      <c r="BK24" s="66">
        <f t="shared" si="18"/>
        <v>239.40722812499996</v>
      </c>
      <c r="BL24" s="70">
        <f t="shared" si="19"/>
        <v>5960.1182704218736</v>
      </c>
    </row>
    <row r="25" spans="2:64" ht="23.5" x14ac:dyDescent="0.3">
      <c r="B25" s="57"/>
      <c r="C25" s="59" t="s">
        <v>180</v>
      </c>
      <c r="D25" s="18" t="s">
        <v>151</v>
      </c>
      <c r="E25" s="72" t="s">
        <v>181</v>
      </c>
      <c r="F25" s="62">
        <v>12.5</v>
      </c>
      <c r="G25" s="59" t="s">
        <v>203</v>
      </c>
      <c r="H25" s="60" t="s">
        <v>178</v>
      </c>
      <c r="I25" s="61"/>
      <c r="J25" s="18"/>
      <c r="K25" s="76" t="s">
        <v>179</v>
      </c>
      <c r="L25" s="63">
        <v>3.57</v>
      </c>
      <c r="M25" s="97">
        <f t="shared" si="23"/>
        <v>126356.57999999999</v>
      </c>
      <c r="N25" s="64">
        <f t="shared" si="7"/>
        <v>2</v>
      </c>
      <c r="O25" s="63"/>
      <c r="P25" s="74">
        <v>2</v>
      </c>
      <c r="Q25" s="74"/>
      <c r="R25" s="66"/>
      <c r="S25" s="66">
        <f t="shared" si="25"/>
        <v>15794.572499999998</v>
      </c>
      <c r="T25" s="66"/>
      <c r="U25" s="66">
        <f t="shared" si="0"/>
        <v>15794.572499999998</v>
      </c>
      <c r="V25" s="66">
        <f t="shared" si="20"/>
        <v>3948.6431249999996</v>
      </c>
      <c r="W25" s="68"/>
      <c r="X25" s="68"/>
      <c r="Y25" s="68"/>
      <c r="Z25" s="75"/>
      <c r="AA25" s="75"/>
      <c r="AB25" s="75"/>
      <c r="AC25" s="66">
        <f t="shared" si="1"/>
        <v>0</v>
      </c>
      <c r="AD25" s="66">
        <f t="shared" si="27"/>
        <v>2</v>
      </c>
      <c r="AE25" s="66">
        <f t="shared" si="21"/>
        <v>5922.9646874999989</v>
      </c>
      <c r="AF25" s="75"/>
      <c r="AG25" s="69"/>
      <c r="AH25" s="75"/>
      <c r="AI25" s="67"/>
      <c r="AJ25" s="66"/>
      <c r="AK25" s="66"/>
      <c r="AL25" s="66"/>
      <c r="AM25" s="75"/>
      <c r="AN25" s="75"/>
      <c r="AO25" s="75"/>
      <c r="AP25" s="75"/>
      <c r="AQ25" s="75"/>
      <c r="AR25" s="66">
        <f t="shared" si="22"/>
        <v>1974.3215624999998</v>
      </c>
      <c r="AS25" s="73"/>
      <c r="AT25" s="73"/>
      <c r="AU25" s="73"/>
      <c r="AV25" s="73"/>
      <c r="AW25" s="66">
        <f t="shared" si="28"/>
        <v>0</v>
      </c>
      <c r="AX25" s="66"/>
      <c r="AY25" s="66">
        <f t="shared" si="2"/>
        <v>11845.929374999998</v>
      </c>
      <c r="AZ25" s="66">
        <f t="shared" si="3"/>
        <v>27640.501874999994</v>
      </c>
      <c r="BA25" s="66">
        <f t="shared" si="8"/>
        <v>24876.451687499994</v>
      </c>
      <c r="BB25" s="66">
        <f t="shared" si="9"/>
        <v>1492.5871012499995</v>
      </c>
      <c r="BC25" s="66">
        <f t="shared" si="10"/>
        <v>870.67580906249987</v>
      </c>
      <c r="BD25" s="66">
        <f t="shared" si="11"/>
        <v>746.29355062499974</v>
      </c>
      <c r="BE25" s="66">
        <f t="shared" si="12"/>
        <v>19743.215624999997</v>
      </c>
      <c r="BF25" s="70">
        <f t="shared" si="13"/>
        <v>22852.772085937497</v>
      </c>
      <c r="BG25" s="70">
        <f t="shared" si="14"/>
        <v>331.68602249999998</v>
      </c>
      <c r="BH25" s="66">
        <f t="shared" si="15"/>
        <v>17.911045214999994</v>
      </c>
      <c r="BI25" s="66">
        <f t="shared" si="16"/>
        <v>10.448109708749998</v>
      </c>
      <c r="BJ25" s="66">
        <f t="shared" si="17"/>
        <v>8.9555226074999972</v>
      </c>
      <c r="BK25" s="66">
        <f t="shared" si="18"/>
        <v>19.743215624999998</v>
      </c>
      <c r="BL25" s="70">
        <f t="shared" si="19"/>
        <v>388.74391565624995</v>
      </c>
    </row>
    <row r="26" spans="2:64" ht="13" x14ac:dyDescent="0.3">
      <c r="B26" s="57">
        <v>11</v>
      </c>
      <c r="C26" s="58" t="s">
        <v>272</v>
      </c>
      <c r="D26" s="18" t="s">
        <v>151</v>
      </c>
      <c r="E26" s="123" t="s">
        <v>265</v>
      </c>
      <c r="F26" s="62">
        <v>9.6999999999999993</v>
      </c>
      <c r="G26" s="59" t="s">
        <v>206</v>
      </c>
      <c r="H26" s="60" t="s">
        <v>178</v>
      </c>
      <c r="I26" s="61"/>
      <c r="J26" s="18"/>
      <c r="K26" s="62" t="s">
        <v>192</v>
      </c>
      <c r="L26" s="99">
        <v>4.33</v>
      </c>
      <c r="M26" s="97">
        <f t="shared" ref="M26" si="35">L26*17697*2</f>
        <v>153256.01999999999</v>
      </c>
      <c r="N26" s="64">
        <f t="shared" si="7"/>
        <v>22</v>
      </c>
      <c r="O26" s="63">
        <v>4</v>
      </c>
      <c r="P26" s="74">
        <v>12</v>
      </c>
      <c r="Q26" s="74">
        <v>6</v>
      </c>
      <c r="R26" s="66"/>
      <c r="S26" s="66">
        <f>M26/16*P26</f>
        <v>114942.01499999998</v>
      </c>
      <c r="T26" s="66">
        <f t="shared" ref="T26" si="36">M26/16*Q26</f>
        <v>57471.007499999992</v>
      </c>
      <c r="U26" s="66">
        <f t="shared" si="0"/>
        <v>172413.02249999996</v>
      </c>
      <c r="V26" s="66">
        <f t="shared" ref="V26" si="37">U26*25%</f>
        <v>43103.255624999991</v>
      </c>
      <c r="W26" s="68">
        <v>4</v>
      </c>
      <c r="X26" s="68">
        <v>12</v>
      </c>
      <c r="Y26" s="68">
        <v>6</v>
      </c>
      <c r="Z26" s="75">
        <f>17697*40%/16*W26/2</f>
        <v>884.85</v>
      </c>
      <c r="AA26" s="75">
        <f>17697/16*X26*40%/2</f>
        <v>2654.55</v>
      </c>
      <c r="AB26" s="75">
        <f>17697*40%/16*Y26/2</f>
        <v>1327.2750000000001</v>
      </c>
      <c r="AC26" s="66">
        <f t="shared" si="1"/>
        <v>4866.6750000000002</v>
      </c>
      <c r="AD26" s="66">
        <v>22</v>
      </c>
      <c r="AE26" s="66">
        <f t="shared" ref="AE26" si="38">(U26+V26)*30%</f>
        <v>64654.883437499986</v>
      </c>
      <c r="AF26" s="75"/>
      <c r="AG26" s="69">
        <v>5309</v>
      </c>
      <c r="AH26" s="75"/>
      <c r="AI26" s="73"/>
      <c r="AJ26" s="66"/>
      <c r="AK26" s="66"/>
      <c r="AL26" s="66"/>
      <c r="AM26" s="75"/>
      <c r="AN26" s="75"/>
      <c r="AO26" s="75"/>
      <c r="AP26" s="75">
        <v>1</v>
      </c>
      <c r="AQ26" s="75">
        <f t="shared" si="34"/>
        <v>4313</v>
      </c>
      <c r="AR26" s="66">
        <f t="shared" si="22"/>
        <v>21551.627812499995</v>
      </c>
      <c r="AS26" s="73"/>
      <c r="AT26" s="73"/>
      <c r="AU26" s="73"/>
      <c r="AV26" s="73"/>
      <c r="AW26" s="66">
        <f t="shared" si="28"/>
        <v>0</v>
      </c>
      <c r="AX26" s="66"/>
      <c r="AY26" s="66">
        <f t="shared" si="2"/>
        <v>143798.44187499996</v>
      </c>
      <c r="AZ26" s="66">
        <f t="shared" si="3"/>
        <v>316211.46437499992</v>
      </c>
      <c r="BA26" s="66">
        <f t="shared" si="8"/>
        <v>280277.31793749996</v>
      </c>
      <c r="BB26" s="66">
        <f t="shared" si="9"/>
        <v>16816.639076249998</v>
      </c>
      <c r="BC26" s="66">
        <f t="shared" si="10"/>
        <v>9809.7061278125002</v>
      </c>
      <c r="BD26" s="66">
        <f t="shared" si="11"/>
        <v>8408.3195381249989</v>
      </c>
      <c r="BE26" s="66">
        <f t="shared" si="12"/>
        <v>215516.27812499995</v>
      </c>
      <c r="BF26" s="70">
        <f t="shared" si="13"/>
        <v>250550.94286718743</v>
      </c>
      <c r="BG26" s="70">
        <f t="shared" si="14"/>
        <v>3794.537572499999</v>
      </c>
      <c r="BH26" s="66">
        <f t="shared" si="15"/>
        <v>201.79966891499998</v>
      </c>
      <c r="BI26" s="66">
        <f t="shared" si="16"/>
        <v>117.71647353375</v>
      </c>
      <c r="BJ26" s="66">
        <f t="shared" si="17"/>
        <v>100.89983445749999</v>
      </c>
      <c r="BK26" s="66">
        <f t="shared" si="18"/>
        <v>215.51627812499996</v>
      </c>
      <c r="BL26" s="70">
        <f t="shared" si="19"/>
        <v>4430.4698275312494</v>
      </c>
    </row>
    <row r="27" spans="2:64" ht="13" x14ac:dyDescent="0.3">
      <c r="B27" s="57">
        <v>12</v>
      </c>
      <c r="C27" s="58" t="s">
        <v>186</v>
      </c>
      <c r="D27" s="18" t="s">
        <v>151</v>
      </c>
      <c r="E27" s="98" t="s">
        <v>187</v>
      </c>
      <c r="F27" s="62">
        <v>14.7</v>
      </c>
      <c r="G27" s="59" t="s">
        <v>188</v>
      </c>
      <c r="H27" s="60" t="s">
        <v>178</v>
      </c>
      <c r="I27" s="61"/>
      <c r="J27" s="18"/>
      <c r="K27" s="62" t="s">
        <v>192</v>
      </c>
      <c r="L27" s="99">
        <v>4.49</v>
      </c>
      <c r="M27" s="97">
        <f t="shared" si="23"/>
        <v>158919.06</v>
      </c>
      <c r="N27" s="64">
        <f t="shared" si="7"/>
        <v>17</v>
      </c>
      <c r="O27" s="63"/>
      <c r="P27" s="74">
        <v>7</v>
      </c>
      <c r="Q27" s="74">
        <v>10</v>
      </c>
      <c r="R27" s="66">
        <f t="shared" si="24"/>
        <v>0</v>
      </c>
      <c r="S27" s="66">
        <f t="shared" si="25"/>
        <v>69527.088749999995</v>
      </c>
      <c r="T27" s="66">
        <f t="shared" si="26"/>
        <v>99324.412500000006</v>
      </c>
      <c r="U27" s="66">
        <f t="shared" si="0"/>
        <v>168851.50125</v>
      </c>
      <c r="V27" s="66">
        <f t="shared" si="20"/>
        <v>42212.8753125</v>
      </c>
      <c r="W27" s="68"/>
      <c r="X27" s="68"/>
      <c r="Y27" s="67"/>
      <c r="Z27" s="75">
        <f>17697/16*W27*40%/2</f>
        <v>0</v>
      </c>
      <c r="AA27" s="75">
        <f>17697/18*X27*50%</f>
        <v>0</v>
      </c>
      <c r="AB27" s="75">
        <f>17697/18*Y27*50%/2</f>
        <v>0</v>
      </c>
      <c r="AC27" s="66">
        <f t="shared" si="1"/>
        <v>0</v>
      </c>
      <c r="AD27" s="66">
        <f t="shared" si="27"/>
        <v>17</v>
      </c>
      <c r="AE27" s="66">
        <f t="shared" si="21"/>
        <v>63319.312968749997</v>
      </c>
      <c r="AF27" s="75"/>
      <c r="AG27" s="113"/>
      <c r="AH27" s="75"/>
      <c r="AI27" s="73"/>
      <c r="AJ27" s="66"/>
      <c r="AK27" s="66"/>
      <c r="AL27" s="66"/>
      <c r="AM27" s="75"/>
      <c r="AN27" s="75"/>
      <c r="AO27" s="75"/>
      <c r="AP27" s="75">
        <v>1</v>
      </c>
      <c r="AQ27" s="75">
        <f t="shared" si="34"/>
        <v>4313</v>
      </c>
      <c r="AR27" s="66">
        <f t="shared" si="22"/>
        <v>21106.43765625</v>
      </c>
      <c r="AS27" s="73"/>
      <c r="AT27" s="73"/>
      <c r="AU27" s="73"/>
      <c r="AV27" s="73"/>
      <c r="AW27" s="66">
        <f t="shared" si="28"/>
        <v>0</v>
      </c>
      <c r="AX27" s="66"/>
      <c r="AY27" s="66">
        <f t="shared" si="2"/>
        <v>130951.62593749999</v>
      </c>
      <c r="AZ27" s="66">
        <f t="shared" si="3"/>
        <v>299803.12718750001</v>
      </c>
      <c r="BA27" s="66">
        <f t="shared" si="8"/>
        <v>265509.81446875003</v>
      </c>
      <c r="BB27" s="66">
        <f t="shared" si="9"/>
        <v>15930.588868125002</v>
      </c>
      <c r="BC27" s="66">
        <f t="shared" si="10"/>
        <v>9292.8435064062523</v>
      </c>
      <c r="BD27" s="66">
        <f t="shared" si="11"/>
        <v>7965.2944340625008</v>
      </c>
      <c r="BE27" s="66">
        <f t="shared" si="12"/>
        <v>211064.37656249999</v>
      </c>
      <c r="BF27" s="70">
        <f t="shared" si="13"/>
        <v>244253.10337109375</v>
      </c>
      <c r="BG27" s="70">
        <f t="shared" si="14"/>
        <v>3597.6375262500001</v>
      </c>
      <c r="BH27" s="66">
        <f t="shared" si="15"/>
        <v>191.16706641750002</v>
      </c>
      <c r="BI27" s="66">
        <f t="shared" si="16"/>
        <v>111.51412207687504</v>
      </c>
      <c r="BJ27" s="66">
        <f t="shared" si="17"/>
        <v>95.583533208750012</v>
      </c>
      <c r="BK27" s="66">
        <f t="shared" si="18"/>
        <v>211.0643765625</v>
      </c>
      <c r="BL27" s="70">
        <f t="shared" si="19"/>
        <v>4206.966624515625</v>
      </c>
    </row>
    <row r="28" spans="2:64" ht="13" x14ac:dyDescent="0.3">
      <c r="B28" s="57">
        <v>13</v>
      </c>
      <c r="C28" s="58" t="s">
        <v>189</v>
      </c>
      <c r="D28" s="18" t="s">
        <v>151</v>
      </c>
      <c r="E28" s="100" t="s">
        <v>190</v>
      </c>
      <c r="F28" s="15">
        <v>2</v>
      </c>
      <c r="G28" s="77" t="s">
        <v>191</v>
      </c>
      <c r="H28" s="71" t="s">
        <v>178</v>
      </c>
      <c r="I28" s="61"/>
      <c r="J28" s="18"/>
      <c r="K28" s="62" t="s">
        <v>179</v>
      </c>
      <c r="L28" s="15">
        <v>3.41</v>
      </c>
      <c r="M28" s="97">
        <f t="shared" si="23"/>
        <v>120693.54000000001</v>
      </c>
      <c r="N28" s="64">
        <f t="shared" si="7"/>
        <v>18</v>
      </c>
      <c r="O28" s="15">
        <v>2</v>
      </c>
      <c r="P28" s="74">
        <v>12</v>
      </c>
      <c r="Q28" s="65">
        <v>4</v>
      </c>
      <c r="R28" s="66">
        <f t="shared" si="24"/>
        <v>15086.692500000001</v>
      </c>
      <c r="S28" s="66">
        <f t="shared" si="25"/>
        <v>90520.154999999999</v>
      </c>
      <c r="T28" s="66">
        <f t="shared" si="26"/>
        <v>30173.385000000002</v>
      </c>
      <c r="U28" s="66">
        <f t="shared" si="0"/>
        <v>135780.23250000001</v>
      </c>
      <c r="V28" s="66">
        <f t="shared" si="20"/>
        <v>33945.058125000003</v>
      </c>
      <c r="W28" s="67">
        <v>2</v>
      </c>
      <c r="X28" s="68">
        <v>12</v>
      </c>
      <c r="Y28" s="67">
        <v>4</v>
      </c>
      <c r="Z28" s="75">
        <f>17697/18*W28*40%</f>
        <v>786.5333333333333</v>
      </c>
      <c r="AA28" s="75">
        <f>17697/16*X28*50%/2</f>
        <v>3318.1875</v>
      </c>
      <c r="AB28" s="75">
        <f>17697/16*Y28*50%/2</f>
        <v>1106.0625</v>
      </c>
      <c r="AC28" s="66">
        <f t="shared" si="1"/>
        <v>5210.7833333333328</v>
      </c>
      <c r="AD28" s="66">
        <f t="shared" si="27"/>
        <v>18</v>
      </c>
      <c r="AE28" s="66">
        <f t="shared" si="21"/>
        <v>50917.587187500008</v>
      </c>
      <c r="AF28" s="75"/>
      <c r="AG28" s="69">
        <f>17697*30%</f>
        <v>5309.0999999999995</v>
      </c>
      <c r="AH28" s="75"/>
      <c r="AI28" s="73"/>
      <c r="AJ28" s="66"/>
      <c r="AK28" s="66"/>
      <c r="AL28" s="66"/>
      <c r="AM28" s="75"/>
      <c r="AN28" s="75"/>
      <c r="AO28" s="75"/>
      <c r="AP28" s="75">
        <v>1</v>
      </c>
      <c r="AQ28" s="75">
        <f t="shared" si="34"/>
        <v>4313</v>
      </c>
      <c r="AR28" s="66">
        <f t="shared" si="22"/>
        <v>16972.529062500002</v>
      </c>
      <c r="AS28" s="73"/>
      <c r="AT28" s="73"/>
      <c r="AU28" s="73"/>
      <c r="AV28" s="73"/>
      <c r="AW28" s="66">
        <f t="shared" si="28"/>
        <v>0</v>
      </c>
      <c r="AX28" s="66"/>
      <c r="AY28" s="66">
        <f t="shared" si="2"/>
        <v>116668.05770833335</v>
      </c>
      <c r="AZ28" s="66">
        <f t="shared" si="3"/>
        <v>252448.29020833335</v>
      </c>
      <c r="BA28" s="66">
        <f t="shared" si="8"/>
        <v>222890.46118750001</v>
      </c>
      <c r="BB28" s="66">
        <f t="shared" si="9"/>
        <v>13373.42767125</v>
      </c>
      <c r="BC28" s="66">
        <f t="shared" si="10"/>
        <v>7801.1661415625013</v>
      </c>
      <c r="BD28" s="66">
        <f t="shared" si="11"/>
        <v>6686.7138356249998</v>
      </c>
      <c r="BE28" s="66">
        <f t="shared" si="12"/>
        <v>169725.29062500002</v>
      </c>
      <c r="BF28" s="70">
        <f t="shared" si="13"/>
        <v>197586.59827343753</v>
      </c>
      <c r="BG28" s="70">
        <f t="shared" si="14"/>
        <v>3029.3794825</v>
      </c>
      <c r="BH28" s="66">
        <f t="shared" si="15"/>
        <v>160.48113205499999</v>
      </c>
      <c r="BI28" s="66">
        <f t="shared" si="16"/>
        <v>93.613993698750008</v>
      </c>
      <c r="BJ28" s="66">
        <f t="shared" si="17"/>
        <v>80.240566027499995</v>
      </c>
      <c r="BK28" s="66">
        <f t="shared" si="18"/>
        <v>169.72529062500001</v>
      </c>
      <c r="BL28" s="70">
        <f t="shared" si="19"/>
        <v>3533.4404649062503</v>
      </c>
    </row>
    <row r="29" spans="2:64" ht="26" x14ac:dyDescent="0.3">
      <c r="B29" s="57">
        <v>14</v>
      </c>
      <c r="C29" s="58" t="s">
        <v>58</v>
      </c>
      <c r="D29" s="18" t="s">
        <v>151</v>
      </c>
      <c r="E29" s="72" t="s">
        <v>193</v>
      </c>
      <c r="F29" s="62">
        <v>16</v>
      </c>
      <c r="G29" s="59" t="s">
        <v>153</v>
      </c>
      <c r="H29" s="71" t="s">
        <v>178</v>
      </c>
      <c r="I29" s="61"/>
      <c r="J29" s="18"/>
      <c r="K29" s="62" t="s">
        <v>56</v>
      </c>
      <c r="L29" s="63">
        <v>3.65</v>
      </c>
      <c r="M29" s="97">
        <f t="shared" si="23"/>
        <v>129188.09999999999</v>
      </c>
      <c r="N29" s="64">
        <f t="shared" si="7"/>
        <v>5</v>
      </c>
      <c r="O29" s="63"/>
      <c r="P29" s="65">
        <v>5</v>
      </c>
      <c r="Q29" s="65"/>
      <c r="R29" s="66">
        <f t="shared" si="24"/>
        <v>0</v>
      </c>
      <c r="S29" s="66">
        <f t="shared" si="25"/>
        <v>40371.28125</v>
      </c>
      <c r="T29" s="66">
        <f t="shared" si="26"/>
        <v>0</v>
      </c>
      <c r="U29" s="66">
        <f t="shared" si="0"/>
        <v>40371.28125</v>
      </c>
      <c r="V29" s="66">
        <f t="shared" si="20"/>
        <v>10092.8203125</v>
      </c>
      <c r="W29" s="68"/>
      <c r="X29" s="68">
        <v>5</v>
      </c>
      <c r="Y29" s="67"/>
      <c r="Z29" s="75">
        <f t="shared" ref="Z29:Z32" si="39">17697/16*W29*40%/2</f>
        <v>0</v>
      </c>
      <c r="AA29" s="75">
        <f>17697/16*X29*50%</f>
        <v>2765.15625</v>
      </c>
      <c r="AB29" s="75">
        <f t="shared" ref="AB29:AB32" si="40">17697/18*Y29*50%/2</f>
        <v>0</v>
      </c>
      <c r="AC29" s="66">
        <f t="shared" si="1"/>
        <v>2765.15625</v>
      </c>
      <c r="AD29" s="66">
        <f t="shared" si="27"/>
        <v>5</v>
      </c>
      <c r="AE29" s="66">
        <f t="shared" si="21"/>
        <v>15139.23046875</v>
      </c>
      <c r="AF29" s="75"/>
      <c r="AG29" s="69"/>
      <c r="AH29" s="75"/>
      <c r="AI29" s="73"/>
      <c r="AJ29" s="66"/>
      <c r="AK29" s="66"/>
      <c r="AL29" s="66"/>
      <c r="AM29" s="75"/>
      <c r="AN29" s="75"/>
      <c r="AO29" s="75"/>
      <c r="AP29" s="75">
        <v>1</v>
      </c>
      <c r="AQ29" s="75">
        <f t="shared" si="34"/>
        <v>4313</v>
      </c>
      <c r="AR29" s="66">
        <f t="shared" si="22"/>
        <v>5046.41015625</v>
      </c>
      <c r="AS29" s="73"/>
      <c r="AT29" s="73"/>
      <c r="AU29" s="73"/>
      <c r="AV29" s="73"/>
      <c r="AW29" s="66">
        <f t="shared" si="28"/>
        <v>0</v>
      </c>
      <c r="AX29" s="66"/>
      <c r="AY29" s="66">
        <f t="shared" si="2"/>
        <v>37356.6171875</v>
      </c>
      <c r="AZ29" s="66">
        <f t="shared" si="3"/>
        <v>77727.8984375</v>
      </c>
      <c r="BA29" s="66">
        <f t="shared" si="8"/>
        <v>65642.108593750003</v>
      </c>
      <c r="BB29" s="66">
        <f t="shared" si="9"/>
        <v>3938.5265156250002</v>
      </c>
      <c r="BC29" s="66">
        <f t="shared" si="10"/>
        <v>2297.4738007812502</v>
      </c>
      <c r="BD29" s="66">
        <f t="shared" si="11"/>
        <v>1969.2632578125001</v>
      </c>
      <c r="BE29" s="66">
        <f t="shared" si="12"/>
        <v>50464.1015625</v>
      </c>
      <c r="BF29" s="70">
        <f t="shared" si="13"/>
        <v>58669.365136718749</v>
      </c>
      <c r="BG29" s="70">
        <f t="shared" si="14"/>
        <v>932.73478124999997</v>
      </c>
      <c r="BH29" s="66">
        <f t="shared" si="15"/>
        <v>47.2623181875</v>
      </c>
      <c r="BI29" s="66">
        <f t="shared" si="16"/>
        <v>27.569685609375004</v>
      </c>
      <c r="BJ29" s="66">
        <f t="shared" si="17"/>
        <v>23.63115909375</v>
      </c>
      <c r="BK29" s="66">
        <f t="shared" si="18"/>
        <v>50.464101562499998</v>
      </c>
      <c r="BL29" s="70">
        <f t="shared" si="19"/>
        <v>1081.6620457031249</v>
      </c>
    </row>
    <row r="30" spans="2:64" ht="23" x14ac:dyDescent="0.3">
      <c r="B30" s="57"/>
      <c r="C30" s="58" t="s">
        <v>58</v>
      </c>
      <c r="D30" s="18" t="s">
        <v>151</v>
      </c>
      <c r="E30" s="72" t="s">
        <v>193</v>
      </c>
      <c r="F30" s="76">
        <v>16</v>
      </c>
      <c r="G30" s="59" t="s">
        <v>194</v>
      </c>
      <c r="H30" s="60" t="s">
        <v>195</v>
      </c>
      <c r="I30" s="61"/>
      <c r="J30" s="18"/>
      <c r="K30" s="76" t="s">
        <v>196</v>
      </c>
      <c r="L30" s="78">
        <v>4.4000000000000004</v>
      </c>
      <c r="M30" s="97">
        <f t="shared" si="23"/>
        <v>155733.6</v>
      </c>
      <c r="N30" s="64">
        <f t="shared" si="7"/>
        <v>4</v>
      </c>
      <c r="O30" s="63"/>
      <c r="P30" s="65">
        <v>2</v>
      </c>
      <c r="Q30" s="65">
        <v>2</v>
      </c>
      <c r="R30" s="66">
        <f t="shared" si="24"/>
        <v>0</v>
      </c>
      <c r="S30" s="66">
        <f t="shared" si="25"/>
        <v>19466.7</v>
      </c>
      <c r="T30" s="66">
        <f t="shared" si="26"/>
        <v>19466.7</v>
      </c>
      <c r="U30" s="66">
        <f t="shared" si="0"/>
        <v>38933.4</v>
      </c>
      <c r="V30" s="66">
        <f t="shared" si="20"/>
        <v>9733.35</v>
      </c>
      <c r="W30" s="68"/>
      <c r="X30" s="68"/>
      <c r="Y30" s="67"/>
      <c r="Z30" s="75">
        <f t="shared" si="39"/>
        <v>0</v>
      </c>
      <c r="AA30" s="75">
        <f t="shared" ref="AA30:AA32" si="41">17697/18*X30*50%</f>
        <v>0</v>
      </c>
      <c r="AB30" s="75">
        <f t="shared" si="40"/>
        <v>0</v>
      </c>
      <c r="AC30" s="66">
        <f t="shared" si="1"/>
        <v>0</v>
      </c>
      <c r="AD30" s="66">
        <f t="shared" si="27"/>
        <v>4</v>
      </c>
      <c r="AE30" s="66">
        <f t="shared" si="21"/>
        <v>14600.025</v>
      </c>
      <c r="AF30" s="75"/>
      <c r="AG30" s="69"/>
      <c r="AH30" s="75"/>
      <c r="AI30" s="73"/>
      <c r="AJ30" s="66"/>
      <c r="AK30" s="66"/>
      <c r="AL30" s="66"/>
      <c r="AM30" s="75">
        <v>17697</v>
      </c>
      <c r="AN30" s="75"/>
      <c r="AO30" s="75"/>
      <c r="AP30" s="75"/>
      <c r="AQ30" s="75">
        <f t="shared" si="31"/>
        <v>0</v>
      </c>
      <c r="AR30" s="66">
        <f t="shared" si="22"/>
        <v>4866.6750000000002</v>
      </c>
      <c r="AS30" s="73">
        <f>(U30+V30)*40%</f>
        <v>19466.7</v>
      </c>
      <c r="AT30" s="73"/>
      <c r="AU30" s="73"/>
      <c r="AV30" s="73"/>
      <c r="AW30" s="66">
        <f t="shared" si="28"/>
        <v>19466.7</v>
      </c>
      <c r="AX30" s="66"/>
      <c r="AY30" s="66">
        <f t="shared" si="2"/>
        <v>66363.75</v>
      </c>
      <c r="AZ30" s="66">
        <f t="shared" si="3"/>
        <v>105297.15</v>
      </c>
      <c r="BA30" s="66">
        <f t="shared" si="8"/>
        <v>94767.434999999998</v>
      </c>
      <c r="BB30" s="66">
        <f t="shared" si="9"/>
        <v>5686.0460999999996</v>
      </c>
      <c r="BC30" s="66">
        <f t="shared" si="10"/>
        <v>3316.8602250000004</v>
      </c>
      <c r="BD30" s="66">
        <f t="shared" si="11"/>
        <v>2843.0230499999998</v>
      </c>
      <c r="BE30" s="66">
        <f t="shared" si="12"/>
        <v>48666.75</v>
      </c>
      <c r="BF30" s="70">
        <f t="shared" si="13"/>
        <v>60512.679375</v>
      </c>
      <c r="BG30" s="70">
        <f t="shared" si="14"/>
        <v>1263.5657999999999</v>
      </c>
      <c r="BH30" s="66">
        <f t="shared" si="15"/>
        <v>68.232553199999998</v>
      </c>
      <c r="BI30" s="66">
        <f t="shared" si="16"/>
        <v>39.802322700000005</v>
      </c>
      <c r="BJ30" s="66">
        <f t="shared" si="17"/>
        <v>34.116276599999999</v>
      </c>
      <c r="BK30" s="66">
        <f t="shared" si="18"/>
        <v>48.66675</v>
      </c>
      <c r="BL30" s="70">
        <f t="shared" si="19"/>
        <v>1454.3837025</v>
      </c>
    </row>
    <row r="31" spans="2:64" ht="13" x14ac:dyDescent="0.3">
      <c r="B31" s="57">
        <v>15</v>
      </c>
      <c r="C31" s="58" t="s">
        <v>273</v>
      </c>
      <c r="D31" s="18" t="s">
        <v>151</v>
      </c>
      <c r="E31" s="72" t="s">
        <v>198</v>
      </c>
      <c r="F31" s="62">
        <v>12.08</v>
      </c>
      <c r="G31" s="59" t="s">
        <v>199</v>
      </c>
      <c r="H31" s="71" t="s">
        <v>178</v>
      </c>
      <c r="I31" s="61"/>
      <c r="J31" s="18"/>
      <c r="K31" s="62" t="s">
        <v>179</v>
      </c>
      <c r="L31" s="63">
        <v>3.57</v>
      </c>
      <c r="M31" s="97">
        <f t="shared" si="23"/>
        <v>126356.57999999999</v>
      </c>
      <c r="N31" s="64">
        <f t="shared" si="7"/>
        <v>11</v>
      </c>
      <c r="O31" s="63"/>
      <c r="P31" s="65">
        <v>8</v>
      </c>
      <c r="Q31" s="65">
        <v>3</v>
      </c>
      <c r="R31" s="66">
        <f t="shared" si="24"/>
        <v>0</v>
      </c>
      <c r="S31" s="66">
        <f t="shared" si="25"/>
        <v>63178.289999999994</v>
      </c>
      <c r="T31" s="66">
        <f t="shared" si="26"/>
        <v>23691.858749999999</v>
      </c>
      <c r="U31" s="66">
        <f t="shared" si="0"/>
        <v>86870.148749999993</v>
      </c>
      <c r="V31" s="66">
        <f t="shared" si="20"/>
        <v>21717.537187499998</v>
      </c>
      <c r="W31" s="68"/>
      <c r="X31" s="68"/>
      <c r="Y31" s="67"/>
      <c r="Z31" s="75">
        <f t="shared" si="39"/>
        <v>0</v>
      </c>
      <c r="AA31" s="75">
        <f t="shared" si="41"/>
        <v>0</v>
      </c>
      <c r="AB31" s="75">
        <f t="shared" si="40"/>
        <v>0</v>
      </c>
      <c r="AC31" s="66">
        <f t="shared" si="1"/>
        <v>0</v>
      </c>
      <c r="AD31" s="66">
        <f t="shared" si="27"/>
        <v>11</v>
      </c>
      <c r="AE31" s="66">
        <f t="shared" si="21"/>
        <v>32576.305781249997</v>
      </c>
      <c r="AF31" s="75"/>
      <c r="AG31" s="69">
        <v>5309</v>
      </c>
      <c r="AH31" s="75"/>
      <c r="AI31" s="73"/>
      <c r="AJ31" s="66"/>
      <c r="AK31" s="66"/>
      <c r="AL31" s="66"/>
      <c r="AM31" s="75"/>
      <c r="AN31" s="75"/>
      <c r="AO31" s="75"/>
      <c r="AP31" s="75">
        <v>1</v>
      </c>
      <c r="AQ31" s="75">
        <f>4313*AP31</f>
        <v>4313</v>
      </c>
      <c r="AR31" s="66">
        <f t="shared" si="22"/>
        <v>10858.768593749999</v>
      </c>
      <c r="AS31" s="73"/>
      <c r="AT31" s="73"/>
      <c r="AU31" s="73"/>
      <c r="AV31" s="73"/>
      <c r="AW31" s="66">
        <f t="shared" si="28"/>
        <v>0</v>
      </c>
      <c r="AX31" s="66"/>
      <c r="AY31" s="66">
        <f t="shared" si="2"/>
        <v>74774.611562499995</v>
      </c>
      <c r="AZ31" s="66">
        <f t="shared" si="3"/>
        <v>161644.7603125</v>
      </c>
      <c r="BA31" s="66">
        <f t="shared" si="8"/>
        <v>141167.28428125</v>
      </c>
      <c r="BB31" s="66">
        <f t="shared" si="9"/>
        <v>8470.0370568750004</v>
      </c>
      <c r="BC31" s="66">
        <f t="shared" si="10"/>
        <v>4940.8549498437505</v>
      </c>
      <c r="BD31" s="66">
        <f t="shared" si="11"/>
        <v>4235.0185284375002</v>
      </c>
      <c r="BE31" s="66">
        <f t="shared" si="12"/>
        <v>108587.68593749999</v>
      </c>
      <c r="BF31" s="70">
        <f t="shared" si="13"/>
        <v>126233.59647265624</v>
      </c>
      <c r="BG31" s="70">
        <f t="shared" si="14"/>
        <v>1939.7371237500001</v>
      </c>
      <c r="BH31" s="66">
        <f t="shared" si="15"/>
        <v>101.6404446825</v>
      </c>
      <c r="BI31" s="66">
        <f t="shared" si="16"/>
        <v>59.290259398125009</v>
      </c>
      <c r="BJ31" s="66">
        <f t="shared" si="17"/>
        <v>50.820222341250002</v>
      </c>
      <c r="BK31" s="66">
        <f t="shared" si="18"/>
        <v>108.5876859375</v>
      </c>
      <c r="BL31" s="70">
        <f t="shared" si="19"/>
        <v>2260.0757361093747</v>
      </c>
    </row>
    <row r="32" spans="2:64" ht="13" x14ac:dyDescent="0.3">
      <c r="B32" s="57"/>
      <c r="C32" s="58" t="s">
        <v>273</v>
      </c>
      <c r="D32" s="18" t="s">
        <v>151</v>
      </c>
      <c r="E32" s="72" t="s">
        <v>198</v>
      </c>
      <c r="F32" s="62">
        <v>12.08</v>
      </c>
      <c r="G32" s="59" t="s">
        <v>188</v>
      </c>
      <c r="H32" s="71" t="s">
        <v>178</v>
      </c>
      <c r="I32" s="61"/>
      <c r="J32" s="18"/>
      <c r="K32" s="62" t="s">
        <v>192</v>
      </c>
      <c r="L32" s="63">
        <v>4.38</v>
      </c>
      <c r="M32" s="97">
        <f t="shared" si="23"/>
        <v>155025.72</v>
      </c>
      <c r="N32" s="64">
        <f t="shared" si="7"/>
        <v>8</v>
      </c>
      <c r="O32" s="63"/>
      <c r="P32" s="74">
        <v>6</v>
      </c>
      <c r="Q32" s="74">
        <v>2</v>
      </c>
      <c r="R32" s="66"/>
      <c r="S32" s="66">
        <f t="shared" si="25"/>
        <v>58134.645000000004</v>
      </c>
      <c r="T32" s="66">
        <f t="shared" si="26"/>
        <v>19378.215</v>
      </c>
      <c r="U32" s="66">
        <f t="shared" si="0"/>
        <v>77512.86</v>
      </c>
      <c r="V32" s="66">
        <f t="shared" si="20"/>
        <v>19378.215</v>
      </c>
      <c r="W32" s="68"/>
      <c r="X32" s="68"/>
      <c r="Y32" s="67"/>
      <c r="Z32" s="75">
        <f t="shared" si="39"/>
        <v>0</v>
      </c>
      <c r="AA32" s="75">
        <f t="shared" si="41"/>
        <v>0</v>
      </c>
      <c r="AB32" s="75">
        <f t="shared" si="40"/>
        <v>0</v>
      </c>
      <c r="AC32" s="66">
        <f t="shared" si="1"/>
        <v>0</v>
      </c>
      <c r="AD32" s="66">
        <f t="shared" si="27"/>
        <v>8</v>
      </c>
      <c r="AE32" s="66">
        <f t="shared" si="21"/>
        <v>29067.322499999998</v>
      </c>
      <c r="AF32" s="75"/>
      <c r="AG32" s="69"/>
      <c r="AH32" s="75"/>
      <c r="AI32" s="73"/>
      <c r="AJ32" s="66"/>
      <c r="AK32" s="66"/>
      <c r="AL32" s="66"/>
      <c r="AM32" s="75"/>
      <c r="AN32" s="75"/>
      <c r="AO32" s="75"/>
      <c r="AP32" s="75"/>
      <c r="AQ32" s="75">
        <f t="shared" si="31"/>
        <v>0</v>
      </c>
      <c r="AR32" s="66">
        <f t="shared" si="22"/>
        <v>9689.1075000000001</v>
      </c>
      <c r="AS32" s="73"/>
      <c r="AT32" s="73"/>
      <c r="AU32" s="73"/>
      <c r="AV32" s="73"/>
      <c r="AW32" s="66">
        <f t="shared" si="28"/>
        <v>0</v>
      </c>
      <c r="AX32" s="66"/>
      <c r="AY32" s="66">
        <f t="shared" si="2"/>
        <v>58134.644999999997</v>
      </c>
      <c r="AZ32" s="66">
        <f t="shared" si="3"/>
        <v>135647.505</v>
      </c>
      <c r="BA32" s="66">
        <f t="shared" si="8"/>
        <v>122082.75450000001</v>
      </c>
      <c r="BB32" s="66">
        <f t="shared" si="9"/>
        <v>7324.9652700000006</v>
      </c>
      <c r="BC32" s="66">
        <f t="shared" si="10"/>
        <v>4272.8964075000004</v>
      </c>
      <c r="BD32" s="66">
        <f t="shared" si="11"/>
        <v>3662.4826350000003</v>
      </c>
      <c r="BE32" s="66">
        <f t="shared" si="12"/>
        <v>96891.074999999997</v>
      </c>
      <c r="BF32" s="70">
        <f t="shared" si="13"/>
        <v>112151.4193125</v>
      </c>
      <c r="BG32" s="70">
        <f t="shared" si="14"/>
        <v>1627.7700600000001</v>
      </c>
      <c r="BH32" s="66">
        <f t="shared" si="15"/>
        <v>87.899583240000013</v>
      </c>
      <c r="BI32" s="66">
        <f t="shared" si="16"/>
        <v>51.274756890000006</v>
      </c>
      <c r="BJ32" s="66">
        <f t="shared" si="17"/>
        <v>43.949791620000006</v>
      </c>
      <c r="BK32" s="66">
        <f t="shared" si="18"/>
        <v>96.891075000000001</v>
      </c>
      <c r="BL32" s="70">
        <f t="shared" si="19"/>
        <v>1907.7852667500001</v>
      </c>
    </row>
    <row r="33" spans="2:64" ht="13" x14ac:dyDescent="0.3">
      <c r="B33" s="57">
        <v>16</v>
      </c>
      <c r="C33" s="112" t="s">
        <v>200</v>
      </c>
      <c r="D33" s="18" t="s">
        <v>151</v>
      </c>
      <c r="E33" s="18" t="s">
        <v>201</v>
      </c>
      <c r="F33" s="76">
        <v>2</v>
      </c>
      <c r="G33" s="111" t="s">
        <v>202</v>
      </c>
      <c r="H33" s="71" t="s">
        <v>178</v>
      </c>
      <c r="I33" s="61"/>
      <c r="J33" s="18"/>
      <c r="K33" s="76" t="s">
        <v>179</v>
      </c>
      <c r="L33" s="112">
        <v>3.41</v>
      </c>
      <c r="M33" s="97">
        <f t="shared" si="23"/>
        <v>120693.54000000001</v>
      </c>
      <c r="N33" s="64">
        <f t="shared" si="7"/>
        <v>16</v>
      </c>
      <c r="O33" s="112"/>
      <c r="P33" s="74">
        <v>8</v>
      </c>
      <c r="Q33" s="74">
        <v>8</v>
      </c>
      <c r="R33" s="66">
        <f t="shared" si="24"/>
        <v>0</v>
      </c>
      <c r="S33" s="66">
        <f t="shared" si="25"/>
        <v>60346.770000000004</v>
      </c>
      <c r="T33" s="66">
        <f t="shared" si="26"/>
        <v>60346.770000000004</v>
      </c>
      <c r="U33" s="66">
        <f t="shared" si="0"/>
        <v>120693.54000000001</v>
      </c>
      <c r="V33" s="66">
        <f t="shared" si="20"/>
        <v>30173.385000000002</v>
      </c>
      <c r="W33" s="68"/>
      <c r="X33" s="68">
        <v>8</v>
      </c>
      <c r="Y33" s="68">
        <v>8</v>
      </c>
      <c r="Z33" s="75">
        <f>17697/18*W33*40%/2</f>
        <v>0</v>
      </c>
      <c r="AA33" s="75">
        <f>17697/16*16*40%/2</f>
        <v>3539.4</v>
      </c>
      <c r="AB33" s="75">
        <f>17697/18*Y33*40%/2</f>
        <v>1573.0666666666666</v>
      </c>
      <c r="AC33" s="66">
        <f t="shared" si="1"/>
        <v>5112.4666666666672</v>
      </c>
      <c r="AD33" s="66">
        <f t="shared" si="27"/>
        <v>16</v>
      </c>
      <c r="AE33" s="66">
        <f t="shared" si="21"/>
        <v>45260.077500000007</v>
      </c>
      <c r="AF33" s="75"/>
      <c r="AG33" s="69">
        <v>5309</v>
      </c>
      <c r="AH33" s="75"/>
      <c r="AI33" s="73"/>
      <c r="AJ33" s="66"/>
      <c r="AK33" s="66"/>
      <c r="AL33" s="66"/>
      <c r="AM33" s="75"/>
      <c r="AN33" s="75"/>
      <c r="AO33" s="75"/>
      <c r="AP33" s="75">
        <v>1</v>
      </c>
      <c r="AQ33" s="75">
        <f>4313*AP33</f>
        <v>4313</v>
      </c>
      <c r="AR33" s="66">
        <f t="shared" si="22"/>
        <v>15086.692500000003</v>
      </c>
      <c r="AS33" s="73"/>
      <c r="AT33" s="73"/>
      <c r="AU33" s="73"/>
      <c r="AV33" s="73"/>
      <c r="AW33" s="66">
        <f t="shared" si="28"/>
        <v>0</v>
      </c>
      <c r="AX33" s="66"/>
      <c r="AY33" s="66">
        <f t="shared" si="2"/>
        <v>105254.62166666667</v>
      </c>
      <c r="AZ33" s="66">
        <f t="shared" si="3"/>
        <v>225948.16166666668</v>
      </c>
      <c r="BA33" s="66">
        <f t="shared" si="8"/>
        <v>199040.3455</v>
      </c>
      <c r="BB33" s="66">
        <f t="shared" si="9"/>
        <v>11942.42073</v>
      </c>
      <c r="BC33" s="66">
        <f t="shared" si="10"/>
        <v>6966.4120925000007</v>
      </c>
      <c r="BD33" s="66">
        <f t="shared" si="11"/>
        <v>5971.2103649999999</v>
      </c>
      <c r="BE33" s="66">
        <f t="shared" si="12"/>
        <v>150866.92500000002</v>
      </c>
      <c r="BF33" s="70">
        <f t="shared" si="13"/>
        <v>175746.96818750002</v>
      </c>
      <c r="BG33" s="70">
        <f t="shared" si="14"/>
        <v>2711.3779400000003</v>
      </c>
      <c r="BH33" s="66">
        <f t="shared" si="15"/>
        <v>143.30904876</v>
      </c>
      <c r="BI33" s="66">
        <f t="shared" si="16"/>
        <v>83.596945110000007</v>
      </c>
      <c r="BJ33" s="66">
        <f t="shared" si="17"/>
        <v>71.654524379999998</v>
      </c>
      <c r="BK33" s="66">
        <f t="shared" si="18"/>
        <v>150.86692500000001</v>
      </c>
      <c r="BL33" s="70">
        <f t="shared" si="19"/>
        <v>3160.8053832500004</v>
      </c>
    </row>
    <row r="34" spans="2:64" ht="13" x14ac:dyDescent="0.3">
      <c r="B34" s="57">
        <v>17</v>
      </c>
      <c r="C34" s="63" t="s">
        <v>246</v>
      </c>
      <c r="D34" s="18" t="s">
        <v>151</v>
      </c>
      <c r="E34" s="100" t="s">
        <v>238</v>
      </c>
      <c r="F34" s="76">
        <v>0</v>
      </c>
      <c r="G34" s="111" t="s">
        <v>202</v>
      </c>
      <c r="H34" s="71" t="s">
        <v>178</v>
      </c>
      <c r="I34" s="61"/>
      <c r="J34" s="18"/>
      <c r="K34" s="76" t="s">
        <v>179</v>
      </c>
      <c r="L34" s="78">
        <v>3.32</v>
      </c>
      <c r="M34" s="97">
        <f t="shared" si="23"/>
        <v>117508.07999999999</v>
      </c>
      <c r="N34" s="64">
        <f t="shared" si="7"/>
        <v>12</v>
      </c>
      <c r="O34" s="63"/>
      <c r="P34" s="65">
        <v>12</v>
      </c>
      <c r="Q34" s="65"/>
      <c r="R34" s="66">
        <f t="shared" si="24"/>
        <v>0</v>
      </c>
      <c r="S34" s="66">
        <f t="shared" si="25"/>
        <v>88131.06</v>
      </c>
      <c r="T34" s="66">
        <f t="shared" si="26"/>
        <v>0</v>
      </c>
      <c r="U34" s="66">
        <f t="shared" si="0"/>
        <v>88131.06</v>
      </c>
      <c r="V34" s="66">
        <f t="shared" si="20"/>
        <v>22032.764999999999</v>
      </c>
      <c r="W34" s="68"/>
      <c r="X34" s="68">
        <v>12</v>
      </c>
      <c r="Y34" s="68"/>
      <c r="Z34" s="75"/>
      <c r="AA34" s="75"/>
      <c r="AB34" s="75"/>
      <c r="AC34" s="66">
        <f t="shared" si="1"/>
        <v>0</v>
      </c>
      <c r="AD34" s="66">
        <v>12</v>
      </c>
      <c r="AE34" s="66">
        <f t="shared" si="21"/>
        <v>33049.147499999999</v>
      </c>
      <c r="AF34" s="75"/>
      <c r="AG34" s="69"/>
      <c r="AH34" s="75"/>
      <c r="AI34" s="73"/>
      <c r="AJ34" s="66"/>
      <c r="AK34" s="66"/>
      <c r="AL34" s="66"/>
      <c r="AM34" s="75"/>
      <c r="AN34" s="75"/>
      <c r="AO34" s="75"/>
      <c r="AP34" s="75">
        <v>1</v>
      </c>
      <c r="AQ34" s="75">
        <f t="shared" ref="AQ34:AQ36" si="42">4313*AP34</f>
        <v>4313</v>
      </c>
      <c r="AR34" s="66">
        <f t="shared" si="22"/>
        <v>11016.3825</v>
      </c>
      <c r="AS34" s="73"/>
      <c r="AT34" s="73"/>
      <c r="AU34" s="73"/>
      <c r="AV34" s="73"/>
      <c r="AW34" s="66">
        <f t="shared" si="28"/>
        <v>0</v>
      </c>
      <c r="AX34" s="66"/>
      <c r="AY34" s="66">
        <f t="shared" si="2"/>
        <v>70411.294999999998</v>
      </c>
      <c r="AZ34" s="66">
        <f t="shared" si="3"/>
        <v>158542.35499999998</v>
      </c>
      <c r="BA34" s="66">
        <f t="shared" si="8"/>
        <v>138375.11949999997</v>
      </c>
      <c r="BB34" s="66">
        <f t="shared" si="9"/>
        <v>8302.5071699999971</v>
      </c>
      <c r="BC34" s="66">
        <f t="shared" si="10"/>
        <v>4843.1291824999998</v>
      </c>
      <c r="BD34" s="66">
        <f t="shared" si="11"/>
        <v>4151.2535849999986</v>
      </c>
      <c r="BE34" s="66">
        <f t="shared" si="12"/>
        <v>110163.825</v>
      </c>
      <c r="BF34" s="70">
        <f t="shared" si="13"/>
        <v>127460.71493749999</v>
      </c>
      <c r="BG34" s="70">
        <f t="shared" si="14"/>
        <v>1902.5082599999998</v>
      </c>
      <c r="BH34" s="66">
        <f t="shared" si="15"/>
        <v>99.630086039999966</v>
      </c>
      <c r="BI34" s="66">
        <f t="shared" si="16"/>
        <v>58.117550189999996</v>
      </c>
      <c r="BJ34" s="66">
        <f t="shared" si="17"/>
        <v>49.815043019999983</v>
      </c>
      <c r="BK34" s="66">
        <f t="shared" si="18"/>
        <v>110.163825</v>
      </c>
      <c r="BL34" s="70">
        <f t="shared" si="19"/>
        <v>2220.2347642499999</v>
      </c>
    </row>
    <row r="35" spans="2:64" ht="13" x14ac:dyDescent="0.3">
      <c r="B35" s="57">
        <v>18</v>
      </c>
      <c r="C35" s="63" t="s">
        <v>237</v>
      </c>
      <c r="D35" s="18" t="s">
        <v>151</v>
      </c>
      <c r="E35" s="100" t="s">
        <v>240</v>
      </c>
      <c r="F35" s="76">
        <v>1.7</v>
      </c>
      <c r="G35" s="82" t="s">
        <v>241</v>
      </c>
      <c r="H35" s="71" t="s">
        <v>178</v>
      </c>
      <c r="I35" s="61"/>
      <c r="J35" s="18"/>
      <c r="K35" s="76" t="s">
        <v>179</v>
      </c>
      <c r="L35" s="78">
        <v>3.36</v>
      </c>
      <c r="M35" s="97">
        <f t="shared" si="23"/>
        <v>118923.84</v>
      </c>
      <c r="N35" s="64">
        <f t="shared" si="7"/>
        <v>6</v>
      </c>
      <c r="O35" s="63"/>
      <c r="P35" s="65">
        <v>6</v>
      </c>
      <c r="Q35" s="65"/>
      <c r="R35" s="66">
        <f t="shared" si="24"/>
        <v>0</v>
      </c>
      <c r="S35" s="66">
        <f t="shared" si="25"/>
        <v>44596.44</v>
      </c>
      <c r="T35" s="66">
        <f t="shared" si="26"/>
        <v>0</v>
      </c>
      <c r="U35" s="66">
        <f t="shared" si="0"/>
        <v>44596.44</v>
      </c>
      <c r="V35" s="66">
        <f t="shared" si="20"/>
        <v>11149.11</v>
      </c>
      <c r="W35" s="68"/>
      <c r="X35" s="68"/>
      <c r="Y35" s="68"/>
      <c r="Z35" s="75">
        <f>17697/16*W35*40%/2</f>
        <v>0</v>
      </c>
      <c r="AA35" s="75">
        <f>17697/16*X35*40%/2</f>
        <v>0</v>
      </c>
      <c r="AB35" s="75">
        <f>17697/16*Y35*40%/2</f>
        <v>0</v>
      </c>
      <c r="AC35" s="66">
        <f t="shared" si="1"/>
        <v>0</v>
      </c>
      <c r="AD35" s="66">
        <f t="shared" si="27"/>
        <v>6</v>
      </c>
      <c r="AE35" s="66">
        <f t="shared" si="21"/>
        <v>16723.665000000001</v>
      </c>
      <c r="AF35" s="75"/>
      <c r="AG35" s="69"/>
      <c r="AH35" s="75"/>
      <c r="AI35" s="67"/>
      <c r="AJ35" s="66"/>
      <c r="AK35" s="66"/>
      <c r="AL35" s="66"/>
      <c r="AM35" s="75"/>
      <c r="AN35" s="75"/>
      <c r="AO35" s="75"/>
      <c r="AP35" s="75">
        <v>1</v>
      </c>
      <c r="AQ35" s="75">
        <f t="shared" si="42"/>
        <v>4313</v>
      </c>
      <c r="AR35" s="66">
        <f t="shared" si="22"/>
        <v>5574.5550000000003</v>
      </c>
      <c r="AS35" s="73"/>
      <c r="AT35" s="73"/>
      <c r="AU35" s="73"/>
      <c r="AV35" s="73"/>
      <c r="AW35" s="66">
        <f t="shared" si="28"/>
        <v>0</v>
      </c>
      <c r="AX35" s="66"/>
      <c r="AY35" s="66">
        <f t="shared" si="2"/>
        <v>37760.33</v>
      </c>
      <c r="AZ35" s="66">
        <f t="shared" si="3"/>
        <v>82356.77</v>
      </c>
      <c r="BA35" s="66">
        <f t="shared" si="8"/>
        <v>69808.093000000008</v>
      </c>
      <c r="BB35" s="66">
        <f t="shared" si="9"/>
        <v>4188.4855800000005</v>
      </c>
      <c r="BC35" s="66">
        <f t="shared" si="10"/>
        <v>2443.2832550000007</v>
      </c>
      <c r="BD35" s="66">
        <f t="shared" si="11"/>
        <v>2094.2427900000002</v>
      </c>
      <c r="BE35" s="66">
        <f t="shared" si="12"/>
        <v>55745.55</v>
      </c>
      <c r="BF35" s="70">
        <f t="shared" si="13"/>
        <v>64471.561625000002</v>
      </c>
      <c r="BG35" s="70">
        <f t="shared" si="14"/>
        <v>988.28124000000003</v>
      </c>
      <c r="BH35" s="66">
        <f t="shared" si="15"/>
        <v>50.261826960000008</v>
      </c>
      <c r="BI35" s="66">
        <f t="shared" si="16"/>
        <v>29.319399060000009</v>
      </c>
      <c r="BJ35" s="66">
        <f t="shared" si="17"/>
        <v>25.130913480000004</v>
      </c>
      <c r="BK35" s="66">
        <f t="shared" si="18"/>
        <v>55.745550000000001</v>
      </c>
      <c r="BL35" s="70">
        <f t="shared" si="19"/>
        <v>1148.7389295000003</v>
      </c>
    </row>
    <row r="36" spans="2:64" ht="13" x14ac:dyDescent="0.3">
      <c r="B36" s="57">
        <v>19</v>
      </c>
      <c r="C36" s="63" t="s">
        <v>239</v>
      </c>
      <c r="D36" s="18" t="s">
        <v>151</v>
      </c>
      <c r="E36" s="100" t="s">
        <v>261</v>
      </c>
      <c r="F36" s="76">
        <v>7.7</v>
      </c>
      <c r="G36" s="82" t="s">
        <v>244</v>
      </c>
      <c r="H36" s="71" t="s">
        <v>178</v>
      </c>
      <c r="I36" s="61"/>
      <c r="J36" s="18"/>
      <c r="K36" s="76" t="s">
        <v>192</v>
      </c>
      <c r="L36" s="78">
        <v>4.33</v>
      </c>
      <c r="M36" s="97">
        <f t="shared" si="23"/>
        <v>153256.01999999999</v>
      </c>
      <c r="N36" s="64">
        <f t="shared" si="7"/>
        <v>16</v>
      </c>
      <c r="O36" s="63">
        <v>16</v>
      </c>
      <c r="P36" s="65"/>
      <c r="Q36" s="65"/>
      <c r="R36" s="66">
        <f t="shared" si="24"/>
        <v>153256.01999999999</v>
      </c>
      <c r="S36" s="66"/>
      <c r="T36" s="66"/>
      <c r="U36" s="66">
        <f t="shared" si="0"/>
        <v>153256.01999999999</v>
      </c>
      <c r="V36" s="66">
        <f t="shared" si="20"/>
        <v>38314.004999999997</v>
      </c>
      <c r="W36" s="68">
        <v>9</v>
      </c>
      <c r="X36" s="68"/>
      <c r="Y36" s="68"/>
      <c r="Z36" s="75">
        <f>17697/16*W36*40%/2</f>
        <v>1990.9125000000001</v>
      </c>
      <c r="AA36" s="75"/>
      <c r="AB36" s="75"/>
      <c r="AC36" s="66">
        <f t="shared" si="1"/>
        <v>1990.9125000000001</v>
      </c>
      <c r="AD36" s="66">
        <f t="shared" si="27"/>
        <v>16</v>
      </c>
      <c r="AE36" s="66">
        <f t="shared" si="21"/>
        <v>57471.0075</v>
      </c>
      <c r="AF36" s="75"/>
      <c r="AG36" s="69"/>
      <c r="AH36" s="75"/>
      <c r="AI36" s="67"/>
      <c r="AJ36" s="66"/>
      <c r="AK36" s="66"/>
      <c r="AL36" s="66"/>
      <c r="AM36" s="75"/>
      <c r="AN36" s="75"/>
      <c r="AO36" s="75"/>
      <c r="AP36" s="75">
        <v>1</v>
      </c>
      <c r="AQ36" s="75">
        <f t="shared" si="42"/>
        <v>4313</v>
      </c>
      <c r="AR36" s="66">
        <f t="shared" si="22"/>
        <v>19157.002499999999</v>
      </c>
      <c r="AS36" s="73"/>
      <c r="AT36" s="73"/>
      <c r="AU36" s="73"/>
      <c r="AV36" s="73"/>
      <c r="AW36" s="66">
        <f t="shared" si="28"/>
        <v>0</v>
      </c>
      <c r="AX36" s="66"/>
      <c r="AY36" s="66">
        <f t="shared" si="2"/>
        <v>121245.92749999999</v>
      </c>
      <c r="AZ36" s="66">
        <f t="shared" si="3"/>
        <v>274501.94750000001</v>
      </c>
      <c r="BA36" s="66">
        <f t="shared" si="8"/>
        <v>242738.75275000001</v>
      </c>
      <c r="BB36" s="66">
        <f t="shared" si="9"/>
        <v>14564.325165</v>
      </c>
      <c r="BC36" s="66">
        <f t="shared" si="10"/>
        <v>8495.8563462500006</v>
      </c>
      <c r="BD36" s="66">
        <f t="shared" si="11"/>
        <v>7282.1625825000001</v>
      </c>
      <c r="BE36" s="66">
        <f t="shared" si="12"/>
        <v>191570.02499999999</v>
      </c>
      <c r="BF36" s="70">
        <f t="shared" si="13"/>
        <v>221912.36909374999</v>
      </c>
      <c r="BG36" s="70">
        <f t="shared" si="14"/>
        <v>3294.0233699999999</v>
      </c>
      <c r="BH36" s="66">
        <f t="shared" si="15"/>
        <v>174.77190198</v>
      </c>
      <c r="BI36" s="66">
        <f t="shared" si="16"/>
        <v>101.950276155</v>
      </c>
      <c r="BJ36" s="66">
        <f t="shared" si="17"/>
        <v>87.385950989999998</v>
      </c>
      <c r="BK36" s="66">
        <f t="shared" si="18"/>
        <v>191.57002499999999</v>
      </c>
      <c r="BL36" s="70">
        <f t="shared" si="19"/>
        <v>3849.7015241250001</v>
      </c>
    </row>
    <row r="37" spans="2:64" ht="13" x14ac:dyDescent="0.3">
      <c r="B37" s="57">
        <v>20</v>
      </c>
      <c r="C37" s="59" t="s">
        <v>204</v>
      </c>
      <c r="D37" s="18" t="s">
        <v>151</v>
      </c>
      <c r="E37" s="100" t="s">
        <v>205</v>
      </c>
      <c r="F37" s="62">
        <v>1</v>
      </c>
      <c r="G37" s="59" t="s">
        <v>182</v>
      </c>
      <c r="H37" s="71" t="s">
        <v>178</v>
      </c>
      <c r="I37" s="61"/>
      <c r="J37" s="18"/>
      <c r="K37" s="76" t="s">
        <v>179</v>
      </c>
      <c r="L37" s="63">
        <v>3.36</v>
      </c>
      <c r="M37" s="97">
        <f t="shared" si="23"/>
        <v>118923.84</v>
      </c>
      <c r="N37" s="64">
        <f t="shared" si="7"/>
        <v>9</v>
      </c>
      <c r="O37" s="63">
        <v>6</v>
      </c>
      <c r="P37" s="74">
        <v>3</v>
      </c>
      <c r="Q37" s="74"/>
      <c r="R37" s="66">
        <f t="shared" si="24"/>
        <v>44596.44</v>
      </c>
      <c r="S37" s="66">
        <f t="shared" si="25"/>
        <v>22298.22</v>
      </c>
      <c r="T37" s="66">
        <f t="shared" si="26"/>
        <v>0</v>
      </c>
      <c r="U37" s="66">
        <f t="shared" si="0"/>
        <v>66894.66</v>
      </c>
      <c r="V37" s="66">
        <f t="shared" si="20"/>
        <v>16723.665000000001</v>
      </c>
      <c r="W37" s="68"/>
      <c r="X37" s="68"/>
      <c r="Y37" s="68"/>
      <c r="Z37" s="75">
        <f t="shared" ref="Z37" si="43">17697/18*W37*40%</f>
        <v>0</v>
      </c>
      <c r="AA37" s="75">
        <v>0</v>
      </c>
      <c r="AB37" s="75">
        <f t="shared" ref="AB37" si="44">17697/16*Y37*40%/2</f>
        <v>0</v>
      </c>
      <c r="AC37" s="66">
        <f t="shared" si="1"/>
        <v>0</v>
      </c>
      <c r="AD37" s="66">
        <f t="shared" si="27"/>
        <v>9</v>
      </c>
      <c r="AE37" s="66">
        <f t="shared" si="21"/>
        <v>25085.497500000001</v>
      </c>
      <c r="AF37" s="75"/>
      <c r="AG37" s="69"/>
      <c r="AH37" s="75"/>
      <c r="AI37" s="67"/>
      <c r="AJ37" s="66"/>
      <c r="AK37" s="66"/>
      <c r="AL37" s="66"/>
      <c r="AM37" s="75"/>
      <c r="AN37" s="75"/>
      <c r="AO37" s="75"/>
      <c r="AP37" s="75">
        <v>1</v>
      </c>
      <c r="AQ37" s="75">
        <f t="shared" ref="AQ37" si="45">4313*AP37</f>
        <v>4313</v>
      </c>
      <c r="AR37" s="66">
        <f t="shared" si="22"/>
        <v>8361.8325000000023</v>
      </c>
      <c r="AS37" s="73"/>
      <c r="AT37" s="73"/>
      <c r="AU37" s="73"/>
      <c r="AV37" s="73"/>
      <c r="AW37" s="66">
        <f t="shared" si="28"/>
        <v>0</v>
      </c>
      <c r="AX37" s="66"/>
      <c r="AY37" s="66">
        <f t="shared" si="2"/>
        <v>54483.99500000001</v>
      </c>
      <c r="AZ37" s="66">
        <f t="shared" si="3"/>
        <v>121378.65500000001</v>
      </c>
      <c r="BA37" s="66">
        <f t="shared" si="8"/>
        <v>104927.78950000001</v>
      </c>
      <c r="BB37" s="66">
        <f t="shared" si="9"/>
        <v>6295.667370000001</v>
      </c>
      <c r="BC37" s="66">
        <f t="shared" si="10"/>
        <v>3672.4726325000006</v>
      </c>
      <c r="BD37" s="66">
        <f t="shared" si="11"/>
        <v>3147.8336850000005</v>
      </c>
      <c r="BE37" s="66">
        <f t="shared" si="12"/>
        <v>83618.325000000012</v>
      </c>
      <c r="BF37" s="70">
        <f t="shared" si="13"/>
        <v>96734.298687500006</v>
      </c>
      <c r="BG37" s="70">
        <f t="shared" si="14"/>
        <v>1456.54386</v>
      </c>
      <c r="BH37" s="66">
        <f t="shared" si="15"/>
        <v>75.548008440000004</v>
      </c>
      <c r="BI37" s="66">
        <f t="shared" si="16"/>
        <v>44.069671590000006</v>
      </c>
      <c r="BJ37" s="66">
        <f t="shared" si="17"/>
        <v>37.774004220000002</v>
      </c>
      <c r="BK37" s="66">
        <f t="shared" si="18"/>
        <v>83.618325000000013</v>
      </c>
      <c r="BL37" s="70">
        <f t="shared" si="19"/>
        <v>1697.5538692500002</v>
      </c>
    </row>
    <row r="38" spans="2:64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4">
        <f t="shared" si="7"/>
        <v>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39" spans="2:64" s="83" customFormat="1" ht="13" x14ac:dyDescent="0.3">
      <c r="B39" s="57"/>
      <c r="C39" s="16"/>
      <c r="D39" s="18"/>
      <c r="E39" s="18"/>
      <c r="F39" s="101"/>
      <c r="G39" s="82"/>
      <c r="H39" s="79"/>
      <c r="I39" s="80"/>
      <c r="J39" s="81"/>
      <c r="K39" s="62"/>
      <c r="L39" s="102"/>
      <c r="M39" s="97"/>
      <c r="N39" s="64">
        <f t="shared" si="7"/>
        <v>0</v>
      </c>
      <c r="O39" s="82"/>
      <c r="P39" s="82"/>
      <c r="Q39" s="82"/>
      <c r="R39" s="66"/>
      <c r="S39" s="66"/>
      <c r="T39" s="66"/>
      <c r="U39" s="66"/>
      <c r="V39" s="66"/>
      <c r="W39" s="68"/>
      <c r="X39" s="68"/>
      <c r="Y39" s="68"/>
      <c r="Z39" s="75"/>
      <c r="AA39" s="75"/>
      <c r="AB39" s="75"/>
      <c r="AC39" s="66"/>
      <c r="AD39" s="66"/>
      <c r="AE39" s="66"/>
      <c r="AF39" s="75"/>
      <c r="AG39" s="69"/>
      <c r="AH39" s="75"/>
      <c r="AI39" s="73"/>
      <c r="AJ39" s="66"/>
      <c r="AK39" s="66"/>
      <c r="AL39" s="66"/>
      <c r="AM39" s="75"/>
      <c r="AN39" s="75"/>
      <c r="AO39" s="75"/>
      <c r="AP39" s="75"/>
      <c r="AQ39" s="75"/>
      <c r="AR39" s="66"/>
      <c r="AS39" s="73"/>
      <c r="AT39" s="73"/>
      <c r="AU39" s="73"/>
      <c r="AV39" s="73"/>
      <c r="AW39" s="66"/>
      <c r="AX39" s="66"/>
      <c r="AY39" s="66"/>
      <c r="AZ39" s="66"/>
      <c r="BA39" s="66"/>
      <c r="BB39" s="66"/>
      <c r="BC39" s="66"/>
      <c r="BD39" s="66"/>
      <c r="BE39" s="66"/>
      <c r="BF39" s="70"/>
      <c r="BG39" s="70"/>
      <c r="BH39" s="66"/>
      <c r="BI39" s="66"/>
      <c r="BJ39" s="66"/>
      <c r="BK39" s="66"/>
      <c r="BL39" s="70"/>
    </row>
    <row r="40" spans="2:64" x14ac:dyDescent="0.25">
      <c r="B40" s="18"/>
      <c r="C40" s="84" t="s">
        <v>207</v>
      </c>
      <c r="D40" s="18"/>
      <c r="E40" s="18"/>
      <c r="F40" s="18"/>
      <c r="G40" s="18"/>
      <c r="H40" s="18"/>
      <c r="I40" s="18"/>
      <c r="J40" s="18"/>
      <c r="K40" s="18"/>
      <c r="L40" s="18"/>
      <c r="M40" s="85">
        <f>SUM(M13:M39)</f>
        <v>3810518.0400000005</v>
      </c>
      <c r="N40" s="85">
        <f t="shared" ref="N40:BL40" si="46">SUM(N13:N39)</f>
        <v>284</v>
      </c>
      <c r="O40" s="85">
        <f t="shared" si="46"/>
        <v>81.5</v>
      </c>
      <c r="P40" s="85">
        <f t="shared" si="46"/>
        <v>134.5</v>
      </c>
      <c r="Q40" s="85">
        <f t="shared" si="46"/>
        <v>68</v>
      </c>
      <c r="R40" s="85">
        <f t="shared" si="46"/>
        <v>847122.20812500012</v>
      </c>
      <c r="S40" s="85">
        <f t="shared" si="46"/>
        <v>1220750.120625</v>
      </c>
      <c r="T40" s="85">
        <f t="shared" si="46"/>
        <v>655496.88</v>
      </c>
      <c r="U40" s="85">
        <f t="shared" si="46"/>
        <v>2723369.2087499998</v>
      </c>
      <c r="V40" s="85">
        <f t="shared" si="46"/>
        <v>680842.30218749994</v>
      </c>
      <c r="W40" s="85">
        <f t="shared" si="46"/>
        <v>48</v>
      </c>
      <c r="X40" s="85">
        <f t="shared" si="46"/>
        <v>81</v>
      </c>
      <c r="Y40" s="85">
        <f t="shared" si="46"/>
        <v>40</v>
      </c>
      <c r="Z40" s="85">
        <f t="shared" si="46"/>
        <v>10962.308333333334</v>
      </c>
      <c r="AA40" s="85">
        <f t="shared" si="46"/>
        <v>20185.640625</v>
      </c>
      <c r="AB40" s="85">
        <f t="shared" si="46"/>
        <v>9426.1104166666664</v>
      </c>
      <c r="AC40" s="85">
        <f t="shared" si="46"/>
        <v>40574.059374999997</v>
      </c>
      <c r="AD40" s="85">
        <f t="shared" si="46"/>
        <v>284</v>
      </c>
      <c r="AE40" s="85">
        <f t="shared" si="46"/>
        <v>1021263.4532812501</v>
      </c>
      <c r="AF40" s="85">
        <f t="shared" si="46"/>
        <v>35394</v>
      </c>
      <c r="AG40" s="85">
        <f t="shared" si="46"/>
        <v>40702.699999999997</v>
      </c>
      <c r="AH40" s="85">
        <f t="shared" si="46"/>
        <v>3539</v>
      </c>
      <c r="AI40" s="85">
        <f t="shared" si="46"/>
        <v>35394</v>
      </c>
      <c r="AJ40" s="85">
        <f t="shared" si="46"/>
        <v>0</v>
      </c>
      <c r="AK40" s="85">
        <f t="shared" si="46"/>
        <v>0</v>
      </c>
      <c r="AL40" s="85">
        <f t="shared" si="46"/>
        <v>0</v>
      </c>
      <c r="AM40" s="85">
        <f t="shared" si="46"/>
        <v>17697</v>
      </c>
      <c r="AN40" s="85">
        <f t="shared" si="46"/>
        <v>0</v>
      </c>
      <c r="AO40" s="85">
        <f t="shared" si="46"/>
        <v>0</v>
      </c>
      <c r="AP40" s="85">
        <f t="shared" si="46"/>
        <v>15</v>
      </c>
      <c r="AQ40" s="85">
        <f t="shared" si="46"/>
        <v>64695</v>
      </c>
      <c r="AR40" s="85">
        <f t="shared" si="46"/>
        <v>340421.15109374997</v>
      </c>
      <c r="AS40" s="85">
        <f t="shared" si="46"/>
        <v>354559.39500000008</v>
      </c>
      <c r="AT40" s="85">
        <f t="shared" si="46"/>
        <v>0</v>
      </c>
      <c r="AU40" s="85">
        <f t="shared" si="46"/>
        <v>110479.05281249998</v>
      </c>
      <c r="AV40" s="85">
        <f t="shared" si="46"/>
        <v>188828.37257812501</v>
      </c>
      <c r="AW40" s="85">
        <f t="shared" si="46"/>
        <v>653866.82039062504</v>
      </c>
      <c r="AX40" s="85">
        <f t="shared" si="46"/>
        <v>17697</v>
      </c>
      <c r="AY40" s="85">
        <f t="shared" si="46"/>
        <v>2952086.486328125</v>
      </c>
      <c r="AZ40" s="85">
        <f t="shared" si="46"/>
        <v>5675455.6950781262</v>
      </c>
      <c r="BA40" s="85">
        <f t="shared" si="46"/>
        <v>5043215.1255703121</v>
      </c>
      <c r="BB40" s="85">
        <f t="shared" si="46"/>
        <v>302592.90753421874</v>
      </c>
      <c r="BC40" s="85">
        <f t="shared" si="46"/>
        <v>176512.52939496093</v>
      </c>
      <c r="BD40" s="85">
        <f t="shared" si="46"/>
        <v>151296.45376710937</v>
      </c>
      <c r="BE40" s="85">
        <f t="shared" si="46"/>
        <v>3404211.5109374998</v>
      </c>
      <c r="BF40" s="85">
        <f t="shared" si="46"/>
        <v>4034613.4016337898</v>
      </c>
      <c r="BG40" s="85">
        <f t="shared" si="46"/>
        <v>68105.468340937499</v>
      </c>
      <c r="BH40" s="85">
        <f t="shared" si="46"/>
        <v>3631.1148904106249</v>
      </c>
      <c r="BI40" s="85">
        <f t="shared" si="46"/>
        <v>2118.1503527395316</v>
      </c>
      <c r="BJ40" s="85">
        <f t="shared" si="46"/>
        <v>1815.5574452053124</v>
      </c>
      <c r="BK40" s="85">
        <f t="shared" si="46"/>
        <v>3404.2115109375</v>
      </c>
      <c r="BL40" s="85">
        <f t="shared" si="46"/>
        <v>79074.50254023046</v>
      </c>
    </row>
    <row r="41" spans="2:64" ht="13" x14ac:dyDescent="0.3">
      <c r="B41" s="86"/>
      <c r="C41" s="87"/>
      <c r="D41" s="86"/>
      <c r="E41" s="86"/>
      <c r="F41" s="86"/>
      <c r="G41" s="86"/>
      <c r="H41" s="86"/>
      <c r="I41" s="86"/>
      <c r="J41" s="86"/>
      <c r="K41" s="86"/>
      <c r="L41" s="86"/>
      <c r="M41" s="89"/>
      <c r="N41" s="88"/>
      <c r="O41" s="88"/>
      <c r="P41" s="88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104"/>
      <c r="AQ41" s="104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</row>
    <row r="42" spans="2:64" ht="13" x14ac:dyDescent="0.3">
      <c r="D42" s="44"/>
      <c r="E42" s="45"/>
      <c r="F42" s="45"/>
      <c r="AY42" s="49"/>
      <c r="BF42" s="49"/>
      <c r="BG42" s="49"/>
      <c r="BL42" s="49"/>
    </row>
    <row r="43" spans="2:64" ht="13" x14ac:dyDescent="0.3">
      <c r="D43" s="44" t="s">
        <v>276</v>
      </c>
      <c r="E43" s="45"/>
      <c r="F43" s="45" t="s">
        <v>208</v>
      </c>
    </row>
    <row r="44" spans="2:64" ht="13" x14ac:dyDescent="0.3">
      <c r="D44" s="44" t="s">
        <v>113</v>
      </c>
      <c r="E44" s="45"/>
      <c r="F44" s="45" t="s">
        <v>114</v>
      </c>
      <c r="BF44" s="49"/>
      <c r="BG44" s="49"/>
      <c r="BL44" s="49"/>
    </row>
  </sheetData>
  <mergeCells count="56">
    <mergeCell ref="BG8:BL9"/>
    <mergeCell ref="N9:N12"/>
    <mergeCell ref="O9:O12"/>
    <mergeCell ref="P9:P12"/>
    <mergeCell ref="Q9:Q12"/>
    <mergeCell ref="R9:R12"/>
    <mergeCell ref="S9:S12"/>
    <mergeCell ref="T9:T12"/>
    <mergeCell ref="U9:U12"/>
    <mergeCell ref="W11:Y11"/>
    <mergeCell ref="BA8:BA12"/>
    <mergeCell ref="BB8:BB12"/>
    <mergeCell ref="BC8:BC12"/>
    <mergeCell ref="BD8:BD12"/>
    <mergeCell ref="BE8:BE12"/>
    <mergeCell ref="BF8:BF12"/>
    <mergeCell ref="AP8:AQ11"/>
    <mergeCell ref="AR8:AR12"/>
    <mergeCell ref="AS8:AW10"/>
    <mergeCell ref="AX8:AX12"/>
    <mergeCell ref="AY8:AY12"/>
    <mergeCell ref="AZ8:AZ12"/>
    <mergeCell ref="AS11:AS12"/>
    <mergeCell ref="AT11:AT12"/>
    <mergeCell ref="AU11:AU12"/>
    <mergeCell ref="AV11:AV12"/>
    <mergeCell ref="AW11:AW12"/>
    <mergeCell ref="AO8:AO12"/>
    <mergeCell ref="W8:AC10"/>
    <mergeCell ref="AD8:AD12"/>
    <mergeCell ref="AE8:AE12"/>
    <mergeCell ref="AF8:AF12"/>
    <mergeCell ref="AG8:AG12"/>
    <mergeCell ref="AH8:AH12"/>
    <mergeCell ref="Z11:AB11"/>
    <mergeCell ref="AC11:AC12"/>
    <mergeCell ref="AI8:AI12"/>
    <mergeCell ref="AJ8:AK11"/>
    <mergeCell ref="AL8:AL12"/>
    <mergeCell ref="AM8:AM12"/>
    <mergeCell ref="AN8:AN12"/>
    <mergeCell ref="V8:V12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N8:Q8"/>
    <mergeCell ref="R8:U8"/>
  </mergeCells>
  <pageMargins left="0" right="0" top="0" bottom="0" header="0.31496062992125984" footer="0.31496062992125984"/>
  <pageSetup paperSize="9" scale="9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штат на 1.09.2023г (дұрысы</vt:lpstr>
      <vt:lpstr>штат на 1.09.2023г</vt:lpstr>
      <vt:lpstr>тариф на 1.09.23г</vt:lpstr>
      <vt:lpstr>перетариф на 1.09.23г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2024-01-18T05:44:32Z</dcterms:modified>
</cp:coreProperties>
</file>